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8"/>
  </bookViews>
  <sheets>
    <sheet name="ต.ค." sheetId="1" r:id="rId1"/>
    <sheet name="พ.ย" sheetId="2" r:id="rId2"/>
    <sheet name="ธ.ค" sheetId="3" r:id="rId3"/>
    <sheet name="ม.ค" sheetId="4" r:id="rId4"/>
    <sheet name="ก.พ" sheetId="5" r:id="rId5"/>
    <sheet name="มี.ค" sheetId="6" r:id="rId6"/>
    <sheet name="เม.ย" sheetId="7" r:id="rId7"/>
    <sheet name="พ.ค" sheetId="8" r:id="rId8"/>
    <sheet name="มิ.ย" sheetId="9" r:id="rId9"/>
    <sheet name="ก.ค" sheetId="10" r:id="rId10"/>
    <sheet name="ส.ค" sheetId="11" r:id="rId11"/>
    <sheet name="ก.ย" sheetId="12" r:id="rId12"/>
  </sheets>
  <definedNames>
    <definedName name="_xlfn.BAHTTEXT" hidden="1">#NAME?</definedName>
    <definedName name="_xlnm.Print_Area" localSheetId="9">'ก.ค'!$A$1:$N$64</definedName>
    <definedName name="_xlnm.Print_Area" localSheetId="4">'ก.พ'!$A$1:$N$64</definedName>
    <definedName name="_xlnm.Print_Area" localSheetId="11">'ก.ย'!$A$1:$N$114</definedName>
    <definedName name="_xlnm.Print_Area" localSheetId="0">'ต.ค.'!$A$1:$N$65</definedName>
    <definedName name="_xlnm.Print_Area" localSheetId="2">'ธ.ค'!$A$1:$N$63</definedName>
    <definedName name="_xlnm.Print_Area" localSheetId="7">'พ.ค'!$A$1:$N$64</definedName>
    <definedName name="_xlnm.Print_Area" localSheetId="1">'พ.ย'!$A$1:$N$65</definedName>
    <definedName name="_xlnm.Print_Area" localSheetId="3">'ม.ค'!$A$1:$N$64</definedName>
    <definedName name="_xlnm.Print_Area" localSheetId="8">'มิ.ย'!$A$1:$N$64</definedName>
    <definedName name="_xlnm.Print_Area" localSheetId="5">'มี.ค'!$A$1:$N$64</definedName>
    <definedName name="_xlnm.Print_Area" localSheetId="6">'เม.ย'!$A$1:$N$64</definedName>
    <definedName name="_xlnm.Print_Area" localSheetId="10">'ส.ค'!$A$1:$N$64</definedName>
  </definedNames>
  <calcPr fullCalcOnLoad="1"/>
</workbook>
</file>

<file path=xl/sharedStrings.xml><?xml version="1.0" encoding="utf-8"?>
<sst xmlns="http://schemas.openxmlformats.org/spreadsheetml/2006/main" count="1232" uniqueCount="111">
  <si>
    <t>cr</t>
  </si>
  <si>
    <t>รายการ</t>
  </si>
  <si>
    <t>รหัสบัญชี</t>
  </si>
  <si>
    <t>เดบิต</t>
  </si>
  <si>
    <t>เครดิต</t>
  </si>
  <si>
    <t>เงินสด</t>
  </si>
  <si>
    <t>รายได้ค้างรับ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</si>
  <si>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</si>
  <si>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</si>
  <si>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</si>
  <si>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</si>
  <si>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</si>
  <si>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</si>
  <si>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</si>
  <si>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งบกลาง</t>
  </si>
  <si>
    <t>บัญชีเงินรับฝาก   (หมายเหตุ 2)</t>
  </si>
  <si>
    <t>รวม</t>
  </si>
  <si>
    <t>110100</t>
  </si>
  <si>
    <t>110201</t>
  </si>
  <si>
    <t>110202</t>
  </si>
  <si>
    <t>110605</t>
  </si>
  <si>
    <t>522000</t>
  </si>
  <si>
    <t>531000</t>
  </si>
  <si>
    <t>532000</t>
  </si>
  <si>
    <t>533000</t>
  </si>
  <si>
    <t>534000</t>
  </si>
  <si>
    <t>561000</t>
  </si>
  <si>
    <t>541000</t>
  </si>
  <si>
    <t>542000</t>
  </si>
  <si>
    <t>310000</t>
  </si>
  <si>
    <t>140300</t>
  </si>
  <si>
    <t>320000</t>
  </si>
  <si>
    <t>ผู้อำนวยการกองคลัง</t>
  </si>
  <si>
    <t xml:space="preserve"> (ลงชื่อ)............................................................           </t>
  </si>
  <si>
    <t xml:space="preserve"> (ลงชื่อ)..........................................................           </t>
  </si>
  <si>
    <t xml:space="preserve"> (ลงชื่อ).....................................................................           </t>
  </si>
  <si>
    <t>เงินรายรับ (หมายเหตุ 1)</t>
  </si>
  <si>
    <t>รายจ่ายผัดส่งใบสำคัญ</t>
  </si>
  <si>
    <t>เจ้าหนี้</t>
  </si>
  <si>
    <t>เงินสะสม</t>
  </si>
  <si>
    <t>เงินทุนสำรองเงินสะสม</t>
  </si>
  <si>
    <t>113400</t>
  </si>
  <si>
    <t>400000</t>
  </si>
  <si>
    <t>211000</t>
  </si>
  <si>
    <t>214000</t>
  </si>
  <si>
    <t>215000</t>
  </si>
  <si>
    <t>221000</t>
  </si>
  <si>
    <t>510000</t>
  </si>
  <si>
    <t>521000</t>
  </si>
  <si>
    <t xml:space="preserve">งบทดลอง  </t>
  </si>
  <si>
    <t>ลูกหนี้เงินยืมเงินสะสม</t>
  </si>
  <si>
    <t>องค์การบริหารส่วนตำบลชำผักแพว</t>
  </si>
  <si>
    <t>เงินฝากธนาคาร ประเภท-ออมทรัพย์ ธกส.แก่งคอย  (307-2-13807-6)</t>
  </si>
  <si>
    <t>เงินฝากธนาคาร ประเภท-ออมทรัพย์ ธกส.แก่งคอย  (307-2-18305-5)</t>
  </si>
  <si>
    <t>เงินฝากธนาคาร ประเภท-ออมทรัพย์ ธกส.แก่งคอย  (307-2-19971-1)</t>
  </si>
  <si>
    <t>เงินฝากธนาคาร ประเภท-ออมทรัพย์ ธกส.แก่งคอย  (307-2-20428-7)</t>
  </si>
  <si>
    <t>เงินฝากธนาคาร ประเภท-ออมทรัพย์ ธกส.แก่งคอย  (02-003-460839-6)</t>
  </si>
  <si>
    <t>เงินฝากธนาคาร ประเภท-ออมทรัพย์ กรุงไทย สระบุรี  (115-0-30602-5)</t>
  </si>
  <si>
    <t>เงินฝากธนาคาร ประเภท-กระแสรายวัน กรุงไทย สระบุรี  (115-6-05961-5)</t>
  </si>
  <si>
    <t>เงินฝากธนาคาร ประเภท-ประจำ กรุงไทย สระบุรี  (115-2-31496-3)</t>
  </si>
  <si>
    <t>ลูกหนี้เงินยืมงบประมาณ</t>
  </si>
  <si>
    <t>ลูกหนี้เงินยืมงบประมาณ -เงินเดือน</t>
  </si>
  <si>
    <t>รายจ่ายค้างจ่าย</t>
  </si>
  <si>
    <t>เงินอุดหนุนระบุวัตถุประสงค์-ค้างจ่าย (หมายเหตุ 3)</t>
  </si>
  <si>
    <t>(นางบงกช   ชิตทัพ)</t>
  </si>
  <si>
    <t>(นายดนัย  กมลคร)</t>
  </si>
  <si>
    <t>(นายสนม  โสป่าสัก)</t>
  </si>
  <si>
    <t xml:space="preserve"> นายองค์การบริหารส่วนตำบลชำผักแพว</t>
  </si>
  <si>
    <t>ปลัดองค์การบริหารส่วนตำบลชำผักแพว</t>
  </si>
  <si>
    <t>ยอดตามบัญชีธนาคาร</t>
  </si>
  <si>
    <t>งบกลาง(อุดหนุน)</t>
  </si>
  <si>
    <t>เงินเดือน (อุดหนุน)</t>
  </si>
  <si>
    <t>ค่าใช้สอย(อุดหนุน)</t>
  </si>
  <si>
    <t>ค่าวัสดุ (อุดหนุน)</t>
  </si>
  <si>
    <t>510001</t>
  </si>
  <si>
    <t>521001</t>
  </si>
  <si>
    <t>532001</t>
  </si>
  <si>
    <t>533001</t>
  </si>
  <si>
    <t>เงินเดือน (ฝ่ายการเมือง)</t>
  </si>
  <si>
    <t>เงินเดือน (ฝ่ายประจำ)</t>
  </si>
  <si>
    <t>เงินขาดบัญชี</t>
  </si>
  <si>
    <t>เงินเกินบัญชี</t>
  </si>
  <si>
    <t>งบทดลอง  (หลังปิดบัญชี)</t>
  </si>
  <si>
    <t xml:space="preserve">งบทดลอง </t>
  </si>
  <si>
    <t>ค่าที่ดินและสิ่งก่อสร้าง(อุดหนุน)</t>
  </si>
  <si>
    <t>542001</t>
  </si>
  <si>
    <t>ณ วันที่  31  กรกฎาคม 2559</t>
  </si>
  <si>
    <t>ณ วันที่  31 สิงหาคม 2559</t>
  </si>
  <si>
    <t>ลูกหนี้ภาษีโรงเรือนและที่ดิน</t>
  </si>
  <si>
    <t>ลูกหนี้ภาษีบำรุงท้องที่</t>
  </si>
  <si>
    <t>เงินรับฝากรอคืนจังหวัด (หมายเหตุ 3)</t>
  </si>
  <si>
    <t xml:space="preserve"> </t>
  </si>
  <si>
    <t>ณ วันที่  30 กันยายน 2559</t>
  </si>
  <si>
    <t>รายได้จากรัฐบาลค้างรับ</t>
  </si>
  <si>
    <t>ลูกหนี้เงินสะสม</t>
  </si>
  <si>
    <t>เจ้าหนี้เงินสะสม</t>
  </si>
  <si>
    <t>ณ วันที่  31 ตุลาคม 2559</t>
  </si>
  <si>
    <t>-</t>
  </si>
  <si>
    <t>เงินอุดหนุนทั่วไป</t>
  </si>
  <si>
    <t>เบิกเงินเกิน</t>
  </si>
  <si>
    <t>ณ วันที่  30 พฤศจิกายน  2559</t>
  </si>
  <si>
    <t>ณ วันที่  31  ธันวาคม  2559</t>
  </si>
  <si>
    <t>ณ วันที่  31  มกราคม  2560</t>
  </si>
  <si>
    <t>(นางบงกช  ชิตทัพ)</t>
  </si>
  <si>
    <t>รักษาราชการแทนปลัดองค์การบริหารส่วนตำบลชำผักแพว</t>
  </si>
  <si>
    <t>ณ วันที่  28  กุมภาพันธ์  2560</t>
  </si>
  <si>
    <t>(นายกมลพันธ์  คงสมพงษ์)</t>
  </si>
  <si>
    <t>ณ วันที่  31  มีนาคม  2560</t>
  </si>
  <si>
    <t>ณ วันที่  30  เมษายน  2560</t>
  </si>
  <si>
    <t>ณ วันที่  31  พฤษภาคม  2560</t>
  </si>
  <si>
    <t>ณ วันที่  30  มิถุนายน 2560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</si>
</sst>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ด\ bbbb"/>
    <numFmt numFmtId="202" formatCode="00"/>
    <numFmt numFmtId="203" formatCode="[$-41E]d\ mmmm\ yyyy"/>
    <numFmt numFmtId="204" formatCode="[$-1010000]d/m/yy;@"/>
    <numFmt numFmtId="205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AngsanaUPC"/>
      <family val="1"/>
    </font>
    <font>
      <sz val="14"/>
      <name val="AngsanaUPC"/>
      <family val="1"/>
    </font>
    <font>
      <sz val="13.5"/>
      <name val="AngsanaUPC"/>
      <family val="1"/>
    </font>
    <font>
      <b/>
      <sz val="13.5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2"/>
      <color indexed="10"/>
      <name val="TH SarabunPSK"/>
      <family val="2"/>
    </font>
    <font>
      <sz val="13.5"/>
      <color indexed="36"/>
      <name val="AngsanaUPC"/>
      <family val="1"/>
    </font>
    <font>
      <sz val="13.5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2"/>
      <color rgb="FFFF0000"/>
      <name val="TH SarabunPSK"/>
      <family val="2"/>
    </font>
    <font>
      <sz val="13.5"/>
      <color rgb="FF7030A0"/>
      <name val="AngsanaUPC"/>
      <family val="1"/>
    </font>
    <font>
      <sz val="13.5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3" fontId="0" fillId="0" borderId="0" xfId="33" applyAlignment="1">
      <alignment/>
    </xf>
    <xf numFmtId="43" fontId="0" fillId="0" borderId="0" xfId="33" applyFont="1" applyAlignment="1">
      <alignment/>
    </xf>
    <xf numFmtId="43" fontId="0" fillId="0" borderId="0" xfId="33" applyFont="1" applyAlignment="1">
      <alignment/>
    </xf>
    <xf numFmtId="0" fontId="4" fillId="0" borderId="0" xfId="0" applyFont="1" applyAlignment="1">
      <alignment/>
    </xf>
    <xf numFmtId="43" fontId="4" fillId="0" borderId="0" xfId="33" applyFont="1" applyAlignment="1">
      <alignment horizontal="center"/>
    </xf>
    <xf numFmtId="43" fontId="4" fillId="0" borderId="0" xfId="33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43" fontId="4" fillId="0" borderId="0" xfId="0" applyNumberFormat="1" applyFont="1" applyAlignment="1">
      <alignment/>
    </xf>
    <xf numFmtId="43" fontId="5" fillId="0" borderId="0" xfId="33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3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3" fontId="6" fillId="0" borderId="15" xfId="33" applyFont="1" applyBorder="1" applyAlignment="1">
      <alignment/>
    </xf>
    <xf numFmtId="43" fontId="6" fillId="0" borderId="14" xfId="33" applyFont="1" applyBorder="1" applyAlignment="1">
      <alignment/>
    </xf>
    <xf numFmtId="0" fontId="6" fillId="0" borderId="0" xfId="0" applyFont="1" applyAlignment="1">
      <alignment/>
    </xf>
    <xf numFmtId="43" fontId="6" fillId="0" borderId="0" xfId="33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3" fontId="6" fillId="0" borderId="0" xfId="0" applyNumberFormat="1" applyFont="1" applyAlignment="1">
      <alignment/>
    </xf>
    <xf numFmtId="49" fontId="6" fillId="0" borderId="18" xfId="0" applyNumberFormat="1" applyFont="1" applyBorder="1" applyAlignment="1">
      <alignment horizontal="center"/>
    </xf>
    <xf numFmtId="43" fontId="6" fillId="0" borderId="18" xfId="33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3" fontId="7" fillId="0" borderId="10" xfId="33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3" fontId="8" fillId="0" borderId="10" xfId="33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5" xfId="33" applyFont="1" applyBorder="1" applyAlignment="1">
      <alignment/>
    </xf>
    <xf numFmtId="43" fontId="9" fillId="0" borderId="14" xfId="33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3" fontId="9" fillId="0" borderId="18" xfId="33" applyFont="1" applyBorder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3" fontId="9" fillId="0" borderId="0" xfId="33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3" fontId="9" fillId="0" borderId="0" xfId="33" applyFont="1" applyAlignment="1">
      <alignment/>
    </xf>
    <xf numFmtId="43" fontId="56" fillId="0" borderId="15" xfId="33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9" fillId="0" borderId="0" xfId="33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10" fillId="0" borderId="14" xfId="0" applyNumberFormat="1" applyFont="1" applyBorder="1" applyAlignment="1">
      <alignment horizontal="center" vertical="center"/>
    </xf>
    <xf numFmtId="43" fontId="10" fillId="0" borderId="15" xfId="33" applyFont="1" applyBorder="1" applyAlignment="1">
      <alignment vertical="center"/>
    </xf>
    <xf numFmtId="43" fontId="10" fillId="0" borderId="14" xfId="33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3" fontId="11" fillId="0" borderId="18" xfId="33" applyFont="1" applyBorder="1" applyAlignment="1">
      <alignment vertical="center"/>
    </xf>
    <xf numFmtId="43" fontId="10" fillId="0" borderId="15" xfId="33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3" fontId="11" fillId="0" borderId="0" xfId="33" applyFont="1" applyBorder="1" applyAlignment="1">
      <alignment vertical="center"/>
    </xf>
    <xf numFmtId="0" fontId="14" fillId="0" borderId="0" xfId="0" applyFont="1" applyAlignment="1">
      <alignment/>
    </xf>
    <xf numFmtId="43" fontId="57" fillId="0" borderId="0" xfId="0" applyNumberFormat="1" applyFont="1" applyAlignment="1">
      <alignment/>
    </xf>
    <xf numFmtId="43" fontId="8" fillId="0" borderId="18" xfId="33" applyFont="1" applyBorder="1" applyAlignment="1">
      <alignment/>
    </xf>
    <xf numFmtId="0" fontId="13" fillId="0" borderId="10" xfId="0" applyFont="1" applyBorder="1" applyAlignment="1">
      <alignment horizontal="center"/>
    </xf>
    <xf numFmtId="43" fontId="13" fillId="0" borderId="10" xfId="33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3" fontId="14" fillId="0" borderId="0" xfId="33" applyFont="1" applyBorder="1" applyAlignment="1">
      <alignment/>
    </xf>
    <xf numFmtId="43" fontId="10" fillId="0" borderId="16" xfId="33" applyFont="1" applyBorder="1" applyAlignment="1">
      <alignment vertical="center"/>
    </xf>
    <xf numFmtId="43" fontId="6" fillId="0" borderId="0" xfId="33" applyFont="1" applyBorder="1" applyAlignment="1">
      <alignment/>
    </xf>
    <xf numFmtId="43" fontId="10" fillId="0" borderId="0" xfId="33" applyFont="1" applyBorder="1" applyAlignment="1">
      <alignment vertical="center"/>
    </xf>
    <xf numFmtId="43" fontId="12" fillId="0" borderId="0" xfId="33" applyFont="1" applyBorder="1" applyAlignment="1">
      <alignment/>
    </xf>
    <xf numFmtId="43" fontId="10" fillId="0" borderId="0" xfId="33" applyFont="1" applyBorder="1" applyAlignment="1">
      <alignment horizontal="center" vertical="center"/>
    </xf>
    <xf numFmtId="43" fontId="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3" fontId="15" fillId="0" borderId="0" xfId="33" applyFont="1" applyAlignment="1">
      <alignment/>
    </xf>
    <xf numFmtId="43" fontId="10" fillId="0" borderId="22" xfId="33" applyFont="1" applyBorder="1" applyAlignment="1">
      <alignment vertical="center"/>
    </xf>
    <xf numFmtId="4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3" fontId="13" fillId="0" borderId="0" xfId="33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43" fontId="8" fillId="0" borderId="0" xfId="33" applyFont="1" applyBorder="1" applyAlignment="1">
      <alignment/>
    </xf>
    <xf numFmtId="43" fontId="17" fillId="0" borderId="0" xfId="33" applyFont="1" applyAlignment="1">
      <alignment/>
    </xf>
    <xf numFmtId="43" fontId="10" fillId="0" borderId="17" xfId="33" applyFont="1" applyBorder="1" applyAlignment="1">
      <alignment vertical="center"/>
    </xf>
    <xf numFmtId="0" fontId="0" fillId="0" borderId="0" xfId="0" applyBorder="1" applyAlignment="1">
      <alignment/>
    </xf>
    <xf numFmtId="43" fontId="10" fillId="33" borderId="0" xfId="33" applyFont="1" applyFill="1" applyBorder="1" applyAlignment="1">
      <alignment vertical="center"/>
    </xf>
    <xf numFmtId="43" fontId="0" fillId="0" borderId="0" xfId="0" applyNumberFormat="1" applyBorder="1" applyAlignment="1">
      <alignment/>
    </xf>
    <xf numFmtId="43" fontId="58" fillId="0" borderId="0" xfId="33" applyFont="1" applyBorder="1" applyAlignment="1">
      <alignment vertical="center"/>
    </xf>
    <xf numFmtId="43" fontId="58" fillId="33" borderId="0" xfId="33" applyFont="1" applyFill="1" applyBorder="1" applyAlignment="1">
      <alignment vertical="center"/>
    </xf>
    <xf numFmtId="43" fontId="0" fillId="0" borderId="0" xfId="33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3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3" fontId="14" fillId="0" borderId="0" xfId="33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33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3" fontId="59" fillId="0" borderId="15" xfId="33" applyFont="1" applyBorder="1" applyAlignment="1">
      <alignment vertical="center"/>
    </xf>
    <xf numFmtId="43" fontId="59" fillId="0" borderId="15" xfId="33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22">
      <selection activeCell="E17" sqref="E17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21.28125" style="0" customWidth="1"/>
    <col min="4" max="4" width="9.851562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9.421875" style="0" customWidth="1"/>
    <col min="10" max="10" width="14.00390625" style="2" bestFit="1" customWidth="1"/>
  </cols>
  <sheetData>
    <row r="1" spans="1:16" s="7" customFormat="1" ht="19.5" customHeight="1">
      <c r="A1" s="108" t="s">
        <v>51</v>
      </c>
      <c r="B1" s="108"/>
      <c r="C1" s="108"/>
      <c r="D1" s="108"/>
      <c r="E1" s="108"/>
      <c r="F1" s="108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08" t="s">
        <v>83</v>
      </c>
      <c r="B2" s="108"/>
      <c r="C2" s="108"/>
      <c r="D2" s="108"/>
      <c r="E2" s="108"/>
      <c r="F2" s="108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09" t="s">
        <v>96</v>
      </c>
      <c r="B3" s="109"/>
      <c r="C3" s="109"/>
      <c r="D3" s="109"/>
      <c r="E3" s="109"/>
      <c r="F3" s="109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10" t="s">
        <v>1</v>
      </c>
      <c r="B4" s="111"/>
      <c r="C4" s="112"/>
      <c r="D4" s="34" t="s">
        <v>2</v>
      </c>
      <c r="E4" s="35" t="s">
        <v>3</v>
      </c>
      <c r="F4" s="35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58" t="s">
        <v>5</v>
      </c>
      <c r="B5" s="59"/>
      <c r="C5" s="60"/>
      <c r="D5" s="61" t="s">
        <v>17</v>
      </c>
      <c r="E5" s="70" t="s">
        <v>97</v>
      </c>
      <c r="F5" s="63"/>
      <c r="H5" s="23"/>
      <c r="J5" s="23"/>
    </row>
    <row r="6" spans="1:10" s="22" customFormat="1" ht="16.5" customHeight="1">
      <c r="A6" s="64" t="s">
        <v>52</v>
      </c>
      <c r="B6" s="65"/>
      <c r="C6" s="66"/>
      <c r="D6" s="67" t="s">
        <v>18</v>
      </c>
      <c r="E6" s="62">
        <v>17378561.59</v>
      </c>
      <c r="F6" s="62"/>
      <c r="H6" s="23"/>
      <c r="J6" s="23"/>
    </row>
    <row r="7" spans="1:10" s="22" customFormat="1" ht="16.5" customHeight="1">
      <c r="A7" s="64" t="s">
        <v>53</v>
      </c>
      <c r="B7" s="65"/>
      <c r="C7" s="66"/>
      <c r="D7" s="67" t="s">
        <v>18</v>
      </c>
      <c r="E7" s="62">
        <v>127795.45</v>
      </c>
      <c r="F7" s="62"/>
      <c r="H7" s="23"/>
      <c r="J7" s="23"/>
    </row>
    <row r="8" spans="1:10" s="22" customFormat="1" ht="16.5" customHeight="1">
      <c r="A8" s="64" t="s">
        <v>54</v>
      </c>
      <c r="B8" s="65"/>
      <c r="C8" s="66"/>
      <c r="D8" s="67" t="s">
        <v>18</v>
      </c>
      <c r="E8" s="62">
        <v>866533.48</v>
      </c>
      <c r="F8" s="62"/>
      <c r="H8" s="23"/>
      <c r="J8" s="23"/>
    </row>
    <row r="9" spans="1:10" s="22" customFormat="1" ht="16.5" customHeight="1">
      <c r="A9" s="64" t="s">
        <v>55</v>
      </c>
      <c r="B9" s="65"/>
      <c r="C9" s="66"/>
      <c r="D9" s="67" t="s">
        <v>18</v>
      </c>
      <c r="E9" s="62">
        <v>13862.5</v>
      </c>
      <c r="F9" s="62"/>
      <c r="H9" s="23" t="e">
        <f>E11+E12</f>
        <v>#VALUE!</v>
      </c>
      <c r="J9" s="23"/>
    </row>
    <row r="10" spans="1:10" s="22" customFormat="1" ht="16.5" customHeight="1">
      <c r="A10" s="64" t="s">
        <v>56</v>
      </c>
      <c r="B10" s="65"/>
      <c r="C10" s="66"/>
      <c r="D10" s="67" t="s">
        <v>18</v>
      </c>
      <c r="E10" s="62">
        <v>12503.24</v>
      </c>
      <c r="F10" s="62"/>
      <c r="G10" s="28">
        <f>SUM(E5:E13)</f>
        <v>32046478.599999998</v>
      </c>
      <c r="H10" s="23"/>
      <c r="I10" s="28"/>
      <c r="J10" s="23"/>
    </row>
    <row r="11" spans="1:10" s="22" customFormat="1" ht="16.5" customHeight="1">
      <c r="A11" s="64" t="s">
        <v>57</v>
      </c>
      <c r="B11" s="65"/>
      <c r="C11" s="66"/>
      <c r="D11" s="67" t="s">
        <v>18</v>
      </c>
      <c r="E11" s="62">
        <v>13647222.34</v>
      </c>
      <c r="F11" s="62"/>
      <c r="G11" s="28" t="s">
        <v>69</v>
      </c>
      <c r="H11" s="23">
        <v>4128908.21</v>
      </c>
      <c r="I11" s="28">
        <f>E11-H11</f>
        <v>9518314.129999999</v>
      </c>
      <c r="J11" s="23"/>
    </row>
    <row r="12" spans="1:10" s="22" customFormat="1" ht="16.5" customHeight="1">
      <c r="A12" s="64" t="s">
        <v>58</v>
      </c>
      <c r="B12" s="65"/>
      <c r="C12" s="66"/>
      <c r="D12" s="67" t="s">
        <v>19</v>
      </c>
      <c r="E12" s="70" t="s">
        <v>97</v>
      </c>
      <c r="F12" s="62"/>
      <c r="G12" s="28"/>
      <c r="H12" s="23"/>
      <c r="J12" s="23"/>
    </row>
    <row r="13" spans="1:10" s="22" customFormat="1" ht="16.5" customHeight="1">
      <c r="A13" s="64" t="s">
        <v>59</v>
      </c>
      <c r="B13" s="65"/>
      <c r="C13" s="66"/>
      <c r="D13" s="67" t="s">
        <v>19</v>
      </c>
      <c r="E13" s="70" t="s">
        <v>97</v>
      </c>
      <c r="F13" s="62"/>
      <c r="H13" s="23"/>
      <c r="I13" s="28"/>
      <c r="J13" s="23"/>
    </row>
    <row r="14" spans="1:10" s="22" customFormat="1" ht="16.5" customHeight="1">
      <c r="A14" s="64" t="s">
        <v>88</v>
      </c>
      <c r="B14" s="65"/>
      <c r="C14" s="66"/>
      <c r="D14" s="67"/>
      <c r="E14" s="62">
        <v>28750</v>
      </c>
      <c r="F14" s="62"/>
      <c r="H14" s="23"/>
      <c r="J14" s="23"/>
    </row>
    <row r="15" spans="1:10" s="22" customFormat="1" ht="16.5" customHeight="1">
      <c r="A15" s="64" t="s">
        <v>89</v>
      </c>
      <c r="B15" s="65"/>
      <c r="C15" s="66"/>
      <c r="D15" s="67" t="s">
        <v>20</v>
      </c>
      <c r="E15" s="62">
        <v>63719.17</v>
      </c>
      <c r="F15" s="62"/>
      <c r="H15" s="23"/>
      <c r="J15" s="23"/>
    </row>
    <row r="16" spans="1:10" s="22" customFormat="1" ht="16.5" customHeight="1">
      <c r="A16" s="64" t="s">
        <v>60</v>
      </c>
      <c r="B16" s="65"/>
      <c r="C16" s="66"/>
      <c r="D16" s="67" t="s">
        <v>41</v>
      </c>
      <c r="E16" s="62">
        <v>9000</v>
      </c>
      <c r="F16" s="62"/>
      <c r="H16" s="23"/>
      <c r="J16" s="23"/>
    </row>
    <row r="17" spans="1:10" s="22" customFormat="1" ht="16.5" customHeight="1">
      <c r="A17" s="64" t="s">
        <v>94</v>
      </c>
      <c r="B17" s="65"/>
      <c r="C17" s="66"/>
      <c r="D17" s="67" t="s">
        <v>30</v>
      </c>
      <c r="E17" s="62">
        <v>618200</v>
      </c>
      <c r="F17" s="62"/>
      <c r="H17" s="23">
        <f>SUM(E5:E13)</f>
        <v>32046478.599999998</v>
      </c>
      <c r="J17" s="23"/>
    </row>
    <row r="18" spans="1:10" s="22" customFormat="1" ht="16.5" customHeight="1">
      <c r="A18" s="64" t="s">
        <v>80</v>
      </c>
      <c r="B18" s="65"/>
      <c r="C18" s="66"/>
      <c r="D18" s="67"/>
      <c r="E18" s="62">
        <v>49528</v>
      </c>
      <c r="F18" s="62"/>
      <c r="H18" s="23"/>
      <c r="J18" s="23"/>
    </row>
    <row r="19" spans="1:10" s="22" customFormat="1" ht="16.5" customHeight="1">
      <c r="A19" s="64" t="s">
        <v>93</v>
      </c>
      <c r="B19" s="65"/>
      <c r="C19" s="66"/>
      <c r="D19" s="67" t="s">
        <v>42</v>
      </c>
      <c r="E19" s="62">
        <v>24000</v>
      </c>
      <c r="F19" s="62"/>
      <c r="H19" s="23"/>
      <c r="J19" s="23"/>
    </row>
    <row r="20" spans="1:10" s="22" customFormat="1" ht="16.5" customHeight="1">
      <c r="A20" s="64" t="s">
        <v>36</v>
      </c>
      <c r="B20" s="65"/>
      <c r="C20" s="66"/>
      <c r="D20" s="67" t="s">
        <v>43</v>
      </c>
      <c r="E20" s="62"/>
      <c r="F20" s="62">
        <v>6517452.97</v>
      </c>
      <c r="H20" s="23"/>
      <c r="J20" s="23"/>
    </row>
    <row r="21" spans="1:10" s="22" customFormat="1" ht="16.5" customHeight="1">
      <c r="A21" s="64" t="s">
        <v>62</v>
      </c>
      <c r="B21" s="65"/>
      <c r="C21" s="66"/>
      <c r="D21" s="67" t="s">
        <v>44</v>
      </c>
      <c r="E21" s="62"/>
      <c r="F21" s="62">
        <v>2891576.15</v>
      </c>
      <c r="H21" s="23"/>
      <c r="J21" s="23"/>
    </row>
    <row r="22" spans="1:10" s="22" customFormat="1" ht="16.5" customHeight="1">
      <c r="A22" s="64" t="s">
        <v>37</v>
      </c>
      <c r="B22" s="65"/>
      <c r="C22" s="66"/>
      <c r="D22" s="67" t="s">
        <v>45</v>
      </c>
      <c r="E22" s="62"/>
      <c r="F22" s="62">
        <v>9000</v>
      </c>
      <c r="H22" s="23"/>
      <c r="J22" s="23"/>
    </row>
    <row r="23" spans="1:10" s="22" customFormat="1" ht="16.5" customHeight="1">
      <c r="A23" s="64" t="s">
        <v>15</v>
      </c>
      <c r="B23" s="65"/>
      <c r="C23" s="66"/>
      <c r="D23" s="67"/>
      <c r="E23" s="62"/>
      <c r="F23" s="62">
        <v>1858038.52</v>
      </c>
      <c r="H23" s="23"/>
      <c r="J23" s="23"/>
    </row>
    <row r="24" spans="1:10" s="22" customFormat="1" ht="16.5" customHeight="1">
      <c r="A24" s="64" t="s">
        <v>90</v>
      </c>
      <c r="B24" s="65"/>
      <c r="C24" s="66"/>
      <c r="D24" s="67"/>
      <c r="E24" s="62"/>
      <c r="F24" s="62">
        <v>540910</v>
      </c>
      <c r="H24" s="23"/>
      <c r="J24" s="23"/>
    </row>
    <row r="25" spans="1:10" s="22" customFormat="1" ht="16.5" customHeight="1">
      <c r="A25" s="64" t="s">
        <v>95</v>
      </c>
      <c r="B25" s="65"/>
      <c r="C25" s="66"/>
      <c r="D25" s="67" t="s">
        <v>46</v>
      </c>
      <c r="E25" s="62"/>
      <c r="F25" s="62">
        <v>24000</v>
      </c>
      <c r="H25" s="23"/>
      <c r="J25" s="23"/>
    </row>
    <row r="26" spans="1:10" s="22" customFormat="1" ht="16.5" customHeight="1">
      <c r="A26" s="64" t="s">
        <v>39</v>
      </c>
      <c r="B26" s="65"/>
      <c r="C26" s="66"/>
      <c r="D26" s="67" t="s">
        <v>29</v>
      </c>
      <c r="E26" s="62"/>
      <c r="F26" s="62">
        <v>9800678.31</v>
      </c>
      <c r="H26" s="23"/>
      <c r="J26" s="23"/>
    </row>
    <row r="27" spans="1:10" s="22" customFormat="1" ht="16.5" customHeight="1">
      <c r="A27" s="64" t="s">
        <v>40</v>
      </c>
      <c r="B27" s="65"/>
      <c r="C27" s="66"/>
      <c r="D27" s="67" t="s">
        <v>31</v>
      </c>
      <c r="E27" s="62"/>
      <c r="F27" s="62">
        <v>12097243.59</v>
      </c>
      <c r="H27" s="23"/>
      <c r="J27" s="23"/>
    </row>
    <row r="28" spans="1:10" s="22" customFormat="1" ht="16.5" customHeight="1">
      <c r="A28" s="64" t="s">
        <v>14</v>
      </c>
      <c r="B28" s="65"/>
      <c r="C28" s="66"/>
      <c r="D28" s="67" t="s">
        <v>47</v>
      </c>
      <c r="E28" s="62">
        <v>10062</v>
      </c>
      <c r="F28" s="62"/>
      <c r="H28" s="23"/>
      <c r="J28" s="23"/>
    </row>
    <row r="29" spans="1:10" s="22" customFormat="1" ht="16.5" customHeight="1">
      <c r="A29" s="64" t="s">
        <v>70</v>
      </c>
      <c r="B29" s="65"/>
      <c r="C29" s="66"/>
      <c r="D29" s="67" t="s">
        <v>74</v>
      </c>
      <c r="E29" s="70" t="s">
        <v>97</v>
      </c>
      <c r="F29" s="62"/>
      <c r="H29" s="23"/>
      <c r="J29" s="23"/>
    </row>
    <row r="30" spans="1:10" s="22" customFormat="1" ht="16.5" customHeight="1">
      <c r="A30" s="64" t="s">
        <v>78</v>
      </c>
      <c r="B30" s="65"/>
      <c r="C30" s="66"/>
      <c r="D30" s="67" t="s">
        <v>48</v>
      </c>
      <c r="E30" s="62">
        <v>214260</v>
      </c>
      <c r="F30" s="62"/>
      <c r="H30" s="23"/>
      <c r="J30" s="23"/>
    </row>
    <row r="31" spans="1:10" s="22" customFormat="1" ht="16.5" customHeight="1">
      <c r="A31" s="64" t="s">
        <v>79</v>
      </c>
      <c r="B31" s="65"/>
      <c r="C31" s="66"/>
      <c r="D31" s="67" t="s">
        <v>21</v>
      </c>
      <c r="E31" s="62">
        <v>593658</v>
      </c>
      <c r="F31" s="62"/>
      <c r="H31" s="23"/>
      <c r="J31" s="23"/>
    </row>
    <row r="32" spans="1:10" s="22" customFormat="1" ht="16.5" customHeight="1">
      <c r="A32" s="64" t="s">
        <v>71</v>
      </c>
      <c r="B32" s="65"/>
      <c r="C32" s="66"/>
      <c r="D32" s="67" t="s">
        <v>75</v>
      </c>
      <c r="E32" s="70" t="s">
        <v>97</v>
      </c>
      <c r="F32" s="62"/>
      <c r="H32" s="23"/>
      <c r="J32" s="23"/>
    </row>
    <row r="33" spans="1:10" s="22" customFormat="1" ht="16.5" customHeight="1">
      <c r="A33" s="64" t="s">
        <v>7</v>
      </c>
      <c r="B33" s="65"/>
      <c r="C33" s="66"/>
      <c r="D33" s="67" t="s">
        <v>22</v>
      </c>
      <c r="E33" s="62">
        <v>18300</v>
      </c>
      <c r="F33" s="62"/>
      <c r="H33" s="23">
        <f>SUM(E28:E41)</f>
        <v>869223.77</v>
      </c>
      <c r="J33" s="23"/>
    </row>
    <row r="34" spans="1:10" s="22" customFormat="1" ht="16.5" customHeight="1">
      <c r="A34" s="64" t="s">
        <v>8</v>
      </c>
      <c r="B34" s="65"/>
      <c r="C34" s="66"/>
      <c r="D34" s="67" t="s">
        <v>23</v>
      </c>
      <c r="E34" s="62">
        <v>25800</v>
      </c>
      <c r="F34" s="62"/>
      <c r="H34" s="23"/>
      <c r="J34" s="23"/>
    </row>
    <row r="35" spans="1:10" s="22" customFormat="1" ht="16.5" customHeight="1">
      <c r="A35" s="64" t="s">
        <v>72</v>
      </c>
      <c r="B35" s="65"/>
      <c r="C35" s="66"/>
      <c r="D35" s="67" t="s">
        <v>76</v>
      </c>
      <c r="E35" s="70" t="s">
        <v>97</v>
      </c>
      <c r="F35" s="62"/>
      <c r="H35" s="23"/>
      <c r="J35" s="23"/>
    </row>
    <row r="36" spans="1:10" s="22" customFormat="1" ht="16.5" customHeight="1">
      <c r="A36" s="64" t="s">
        <v>9</v>
      </c>
      <c r="B36" s="65"/>
      <c r="C36" s="66"/>
      <c r="D36" s="67" t="s">
        <v>24</v>
      </c>
      <c r="E36" s="62">
        <v>3000</v>
      </c>
      <c r="F36" s="62"/>
      <c r="H36" s="23"/>
      <c r="J36" s="23"/>
    </row>
    <row r="37" spans="1:10" s="22" customFormat="1" ht="16.5" customHeight="1">
      <c r="A37" s="64" t="s">
        <v>73</v>
      </c>
      <c r="B37" s="65"/>
      <c r="C37" s="66"/>
      <c r="D37" s="67" t="s">
        <v>77</v>
      </c>
      <c r="E37" s="70" t="s">
        <v>97</v>
      </c>
      <c r="F37" s="62"/>
      <c r="H37" s="23"/>
      <c r="J37" s="23"/>
    </row>
    <row r="38" spans="1:10" s="22" customFormat="1" ht="16.5" customHeight="1">
      <c r="A38" s="64" t="s">
        <v>10</v>
      </c>
      <c r="B38" s="65"/>
      <c r="C38" s="66"/>
      <c r="D38" s="67" t="s">
        <v>25</v>
      </c>
      <c r="E38" s="62">
        <v>4143.77</v>
      </c>
      <c r="F38" s="62"/>
      <c r="H38" s="23"/>
      <c r="J38" s="23"/>
    </row>
    <row r="39" spans="1:10" s="22" customFormat="1" ht="16.5" customHeight="1">
      <c r="A39" s="64" t="s">
        <v>12</v>
      </c>
      <c r="B39" s="65"/>
      <c r="C39" s="66"/>
      <c r="D39" s="67" t="s">
        <v>27</v>
      </c>
      <c r="E39" s="62"/>
      <c r="F39" s="62"/>
      <c r="H39" s="23"/>
      <c r="J39" s="23"/>
    </row>
    <row r="40" spans="1:10" s="22" customFormat="1" ht="16.5" customHeight="1">
      <c r="A40" s="64" t="s">
        <v>13</v>
      </c>
      <c r="B40" s="65"/>
      <c r="C40" s="66"/>
      <c r="D40" s="67" t="s">
        <v>28</v>
      </c>
      <c r="E40" s="62"/>
      <c r="F40" s="62"/>
      <c r="H40" s="23"/>
      <c r="J40" s="23"/>
    </row>
    <row r="41" spans="1:10" s="22" customFormat="1" ht="16.5" customHeight="1">
      <c r="A41" s="64" t="s">
        <v>84</v>
      </c>
      <c r="B41" s="65"/>
      <c r="C41" s="66"/>
      <c r="D41" s="67" t="s">
        <v>26</v>
      </c>
      <c r="E41" s="62"/>
      <c r="F41" s="62"/>
      <c r="H41" s="23"/>
      <c r="J41" s="23"/>
    </row>
    <row r="42" spans="1:10" s="22" customFormat="1" ht="16.5" customHeight="1">
      <c r="A42" s="64" t="s">
        <v>11</v>
      </c>
      <c r="B42" s="65"/>
      <c r="C42" s="66"/>
      <c r="D42" s="67"/>
      <c r="E42" s="62"/>
      <c r="F42" s="62"/>
      <c r="H42" s="23"/>
      <c r="J42" s="23"/>
    </row>
    <row r="43" spans="1:10" s="22" customFormat="1" ht="16.5" customHeight="1">
      <c r="A43" s="71" t="s">
        <v>98</v>
      </c>
      <c r="B43" s="72"/>
      <c r="C43" s="73"/>
      <c r="D43" s="67"/>
      <c r="E43" s="62">
        <v>30000</v>
      </c>
      <c r="F43" s="62"/>
      <c r="H43" s="23"/>
      <c r="J43" s="23"/>
    </row>
    <row r="44" spans="2:10" s="22" customFormat="1" ht="18.75" customHeight="1" thickBot="1">
      <c r="B44" s="65"/>
      <c r="C44" s="66"/>
      <c r="D44" s="68"/>
      <c r="E44" s="69">
        <f>SUM(E6:E43)</f>
        <v>33738899.54</v>
      </c>
      <c r="F44" s="69">
        <f>SUM(F5:F41)</f>
        <v>33738899.54</v>
      </c>
      <c r="G44" s="28">
        <f>E44-F44</f>
        <v>0</v>
      </c>
      <c r="H44" s="23"/>
      <c r="J44" s="23"/>
    </row>
    <row r="45" spans="1:16" s="7" customFormat="1" ht="10.5" customHeight="1" thickTop="1">
      <c r="A45" s="55"/>
      <c r="B45" s="55"/>
      <c r="C45" s="55"/>
      <c r="D45" s="56"/>
      <c r="E45" s="57"/>
      <c r="F45" s="57"/>
      <c r="G45" s="10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21" customHeight="1">
      <c r="A46" s="51" t="s">
        <v>33</v>
      </c>
      <c r="B46" s="51"/>
      <c r="C46" s="51" t="s">
        <v>34</v>
      </c>
      <c r="D46" s="51"/>
      <c r="E46" s="51" t="s">
        <v>35</v>
      </c>
      <c r="F46" s="51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13" t="s">
        <v>64</v>
      </c>
      <c r="B47" s="113"/>
      <c r="C47" s="113" t="s">
        <v>65</v>
      </c>
      <c r="D47" s="113"/>
      <c r="E47" s="115" t="s">
        <v>66</v>
      </c>
      <c r="F47" s="115"/>
      <c r="G47" s="4"/>
      <c r="H47" s="6"/>
      <c r="I47" s="4"/>
      <c r="J47" s="6"/>
      <c r="K47" s="4"/>
      <c r="L47" s="4"/>
      <c r="M47" s="4"/>
      <c r="N47" s="4"/>
      <c r="O47" s="4"/>
      <c r="P47" s="4"/>
    </row>
    <row r="48" spans="1:16" s="7" customFormat="1" ht="18" customHeight="1">
      <c r="A48" s="113" t="s">
        <v>32</v>
      </c>
      <c r="B48" s="113"/>
      <c r="C48" s="113" t="s">
        <v>68</v>
      </c>
      <c r="D48" s="113"/>
      <c r="E48" s="114" t="s">
        <v>67</v>
      </c>
      <c r="F48" s="114"/>
      <c r="G48" s="4"/>
      <c r="H48" s="6"/>
      <c r="I48" s="4"/>
      <c r="J48" s="6"/>
      <c r="K48" s="4"/>
      <c r="L48" s="4"/>
      <c r="M48" s="4"/>
      <c r="N48" s="4"/>
      <c r="O48" s="4"/>
      <c r="P48" s="4"/>
    </row>
    <row r="49" spans="1:6" ht="21">
      <c r="A49" s="52"/>
      <c r="B49" s="52"/>
      <c r="C49" s="52"/>
      <c r="D49" s="52"/>
      <c r="E49" s="53"/>
      <c r="F49" s="53"/>
    </row>
    <row r="50" spans="1:6" ht="21">
      <c r="A50" s="52"/>
      <c r="B50" s="52"/>
      <c r="C50" s="52"/>
      <c r="D50" s="52"/>
      <c r="E50" s="53"/>
      <c r="F50" s="53"/>
    </row>
    <row r="51" spans="1:6" ht="21">
      <c r="A51" s="52"/>
      <c r="B51" s="52"/>
      <c r="C51" s="52"/>
      <c r="D51" s="52"/>
      <c r="E51" s="53"/>
      <c r="F51" s="53"/>
    </row>
  </sheetData>
  <sheetProtection/>
  <mergeCells count="10">
    <mergeCell ref="A1:F1"/>
    <mergeCell ref="A2:F2"/>
    <mergeCell ref="A3:F3"/>
    <mergeCell ref="A4:C4"/>
    <mergeCell ref="A48:B48"/>
    <mergeCell ref="C48:D48"/>
    <mergeCell ref="E48:F48"/>
    <mergeCell ref="A47:B47"/>
    <mergeCell ref="C47:D47"/>
    <mergeCell ref="E47:F47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31">
      <selection activeCell="E42" sqref="E42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9.421875" style="0" customWidth="1"/>
    <col min="10" max="10" width="14.00390625" style="2" bestFit="1" customWidth="1"/>
  </cols>
  <sheetData>
    <row r="1" spans="1:16" s="7" customFormat="1" ht="19.5" customHeight="1">
      <c r="A1" s="134" t="s">
        <v>51</v>
      </c>
      <c r="B1" s="134"/>
      <c r="C1" s="134"/>
      <c r="D1" s="134"/>
      <c r="E1" s="134"/>
      <c r="F1" s="134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34" t="s">
        <v>83</v>
      </c>
      <c r="B2" s="134"/>
      <c r="C2" s="134"/>
      <c r="D2" s="134"/>
      <c r="E2" s="134"/>
      <c r="F2" s="134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35" t="s">
        <v>86</v>
      </c>
      <c r="B3" s="135"/>
      <c r="C3" s="135"/>
      <c r="D3" s="135"/>
      <c r="E3" s="135"/>
      <c r="F3" s="135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36" t="s">
        <v>1</v>
      </c>
      <c r="B4" s="137"/>
      <c r="C4" s="138"/>
      <c r="D4" s="8" t="s">
        <v>2</v>
      </c>
      <c r="E4" s="9" t="s">
        <v>3</v>
      </c>
      <c r="F4" s="9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16" t="s">
        <v>5</v>
      </c>
      <c r="B5" s="17"/>
      <c r="C5" s="18"/>
      <c r="D5" s="19" t="s">
        <v>17</v>
      </c>
      <c r="E5" s="20">
        <f>'มิ.ย'!E5</f>
        <v>0</v>
      </c>
      <c r="F5" s="21"/>
      <c r="H5" s="23"/>
      <c r="J5" s="23"/>
    </row>
    <row r="6" spans="1:10" s="22" customFormat="1" ht="16.5" customHeight="1">
      <c r="A6" s="24" t="s">
        <v>52</v>
      </c>
      <c r="B6" s="25"/>
      <c r="C6" s="26"/>
      <c r="D6" s="27" t="s">
        <v>18</v>
      </c>
      <c r="E6" s="20">
        <f>'มิ.ย'!E6+199627-3033155.73+5052825.78</f>
        <v>16508943.75</v>
      </c>
      <c r="F6" s="20"/>
      <c r="H6" s="23"/>
      <c r="J6" s="23"/>
    </row>
    <row r="7" spans="1:10" s="22" customFormat="1" ht="16.5" customHeight="1">
      <c r="A7" s="24" t="s">
        <v>53</v>
      </c>
      <c r="B7" s="25"/>
      <c r="C7" s="26"/>
      <c r="D7" s="27" t="s">
        <v>18</v>
      </c>
      <c r="E7" s="20">
        <f>'มิ.ย'!E7</f>
        <v>128049.97</v>
      </c>
      <c r="F7" s="20"/>
      <c r="H7" s="23"/>
      <c r="J7" s="23"/>
    </row>
    <row r="8" spans="1:10" s="22" customFormat="1" ht="16.5" customHeight="1">
      <c r="A8" s="24" t="s">
        <v>54</v>
      </c>
      <c r="B8" s="25"/>
      <c r="C8" s="26"/>
      <c r="D8" s="27" t="s">
        <v>18</v>
      </c>
      <c r="E8" s="20">
        <f>'มิ.ย'!E8</f>
        <v>1074003.15</v>
      </c>
      <c r="F8" s="20"/>
      <c r="H8" s="23"/>
      <c r="J8" s="23"/>
    </row>
    <row r="9" spans="1:10" s="22" customFormat="1" ht="16.5" customHeight="1">
      <c r="A9" s="24" t="s">
        <v>55</v>
      </c>
      <c r="B9" s="25"/>
      <c r="C9" s="26"/>
      <c r="D9" s="27" t="s">
        <v>18</v>
      </c>
      <c r="E9" s="20">
        <f>'มิ.ย'!E9</f>
        <v>13890.11</v>
      </c>
      <c r="F9" s="20"/>
      <c r="H9" s="23">
        <f>E11+E12</f>
        <v>10119901.700000001</v>
      </c>
      <c r="J9" s="23"/>
    </row>
    <row r="10" spans="1:10" s="22" customFormat="1" ht="16.5" customHeight="1">
      <c r="A10" s="24" t="s">
        <v>56</v>
      </c>
      <c r="B10" s="25"/>
      <c r="C10" s="26"/>
      <c r="D10" s="27" t="s">
        <v>18</v>
      </c>
      <c r="E10" s="20">
        <f>'มิ.ย'!E10</f>
        <v>12528.14</v>
      </c>
      <c r="F10" s="20"/>
      <c r="G10" s="28">
        <f>SUM(E5:E13)</f>
        <v>27857316.82</v>
      </c>
      <c r="H10" s="23"/>
      <c r="I10" s="28"/>
      <c r="J10" s="23"/>
    </row>
    <row r="11" spans="1:10" s="22" customFormat="1" ht="16.5" customHeight="1">
      <c r="A11" s="24" t="s">
        <v>57</v>
      </c>
      <c r="B11" s="25"/>
      <c r="C11" s="26"/>
      <c r="D11" s="27" t="s">
        <v>18</v>
      </c>
      <c r="E11" s="20">
        <f>'มิ.ย'!E11-563882.2</f>
        <v>12194732.770000001</v>
      </c>
      <c r="F11" s="20"/>
      <c r="G11" s="28" t="s">
        <v>69</v>
      </c>
      <c r="H11" s="23">
        <v>4128908.21</v>
      </c>
      <c r="I11" s="28">
        <f>E11-H11</f>
        <v>8065824.560000001</v>
      </c>
      <c r="J11" s="23"/>
    </row>
    <row r="12" spans="1:10" s="22" customFormat="1" ht="16.5" customHeight="1">
      <c r="A12" s="24" t="s">
        <v>58</v>
      </c>
      <c r="B12" s="25"/>
      <c r="C12" s="26"/>
      <c r="D12" s="27" t="s">
        <v>19</v>
      </c>
      <c r="E12" s="20">
        <f>'มิ.ย'!E12+1463768-800882.2+563882.2-5052825.78</f>
        <v>-2074831.0700000003</v>
      </c>
      <c r="F12" s="20"/>
      <c r="G12" s="28"/>
      <c r="H12" s="23"/>
      <c r="J12" s="23"/>
    </row>
    <row r="13" spans="1:10" s="22" customFormat="1" ht="16.5" customHeight="1">
      <c r="A13" s="24" t="s">
        <v>59</v>
      </c>
      <c r="B13" s="25"/>
      <c r="C13" s="26"/>
      <c r="D13" s="27" t="s">
        <v>19</v>
      </c>
      <c r="E13" s="20" t="str">
        <f>'มิ.ย'!E13</f>
        <v>-</v>
      </c>
      <c r="F13" s="20"/>
      <c r="H13" s="23"/>
      <c r="I13" s="28"/>
      <c r="J13" s="23"/>
    </row>
    <row r="14" spans="1:10" s="22" customFormat="1" ht="16.5" customHeight="1">
      <c r="A14" s="24" t="s">
        <v>6</v>
      </c>
      <c r="B14" s="25"/>
      <c r="C14" s="26"/>
      <c r="D14" s="27"/>
      <c r="E14" s="20">
        <f>'มิ.ย'!E14</f>
        <v>28750</v>
      </c>
      <c r="F14" s="20"/>
      <c r="H14" s="23"/>
      <c r="J14" s="23"/>
    </row>
    <row r="15" spans="1:10" s="22" customFormat="1" ht="16.5" customHeight="1">
      <c r="A15" s="24" t="s">
        <v>60</v>
      </c>
      <c r="B15" s="25"/>
      <c r="C15" s="26"/>
      <c r="D15" s="27" t="s">
        <v>20</v>
      </c>
      <c r="E15" s="20">
        <f>'มิ.ย'!E15+10020</f>
        <v>73739.17</v>
      </c>
      <c r="F15" s="20"/>
      <c r="H15" s="23"/>
      <c r="J15" s="23"/>
    </row>
    <row r="16" spans="1:10" s="22" customFormat="1" ht="16.5" customHeight="1">
      <c r="A16" s="24" t="s">
        <v>61</v>
      </c>
      <c r="B16" s="25"/>
      <c r="C16" s="26"/>
      <c r="D16" s="27" t="s">
        <v>41</v>
      </c>
      <c r="E16" s="20">
        <f>'มิ.ย'!E16</f>
        <v>9000</v>
      </c>
      <c r="F16" s="20"/>
      <c r="H16" s="23"/>
      <c r="J16" s="23"/>
    </row>
    <row r="17" spans="1:10" s="22" customFormat="1" ht="16.5" customHeight="1">
      <c r="A17" s="24" t="s">
        <v>50</v>
      </c>
      <c r="B17" s="25"/>
      <c r="C17" s="26"/>
      <c r="D17" s="27" t="s">
        <v>30</v>
      </c>
      <c r="E17" s="20">
        <f>'มิ.ย'!E17</f>
        <v>24000</v>
      </c>
      <c r="F17" s="20"/>
      <c r="H17" s="23">
        <f>SUM(E5:E13)</f>
        <v>27857316.82</v>
      </c>
      <c r="J17" s="23"/>
    </row>
    <row r="18" spans="1:10" s="22" customFormat="1" ht="16.5" customHeight="1">
      <c r="A18" s="24" t="s">
        <v>80</v>
      </c>
      <c r="B18" s="25"/>
      <c r="C18" s="26"/>
      <c r="D18" s="27"/>
      <c r="E18" s="20">
        <f>'มิ.ย'!E18</f>
        <v>24000</v>
      </c>
      <c r="F18" s="20"/>
      <c r="H18" s="23"/>
      <c r="J18" s="23"/>
    </row>
    <row r="19" spans="1:10" s="22" customFormat="1" ht="16.5" customHeight="1">
      <c r="A19" s="24" t="s">
        <v>36</v>
      </c>
      <c r="B19" s="25"/>
      <c r="C19" s="26"/>
      <c r="D19" s="27" t="s">
        <v>42</v>
      </c>
      <c r="E19" s="20">
        <f>'มิ.ย'!E19</f>
        <v>0</v>
      </c>
      <c r="F19" s="20">
        <f>'มิ.ย'!F19+1598858.29</f>
        <v>31389486.46</v>
      </c>
      <c r="H19" s="23"/>
      <c r="J19" s="23"/>
    </row>
    <row r="20" spans="1:10" s="22" customFormat="1" ht="16.5" customHeight="1">
      <c r="A20" s="24" t="s">
        <v>62</v>
      </c>
      <c r="B20" s="25"/>
      <c r="C20" s="26"/>
      <c r="D20" s="27" t="s">
        <v>43</v>
      </c>
      <c r="E20" s="20">
        <f>'มิ.ย'!E20</f>
        <v>0</v>
      </c>
      <c r="F20" s="20">
        <f>'มิ.ย'!F20</f>
        <v>489388.95</v>
      </c>
      <c r="H20" s="23"/>
      <c r="J20" s="23"/>
    </row>
    <row r="21" spans="1:10" s="22" customFormat="1" ht="16.5" customHeight="1">
      <c r="A21" s="24" t="s">
        <v>37</v>
      </c>
      <c r="B21" s="25"/>
      <c r="C21" s="26"/>
      <c r="D21" s="27" t="s">
        <v>44</v>
      </c>
      <c r="E21" s="20">
        <f>'มิ.ย'!E21</f>
        <v>0</v>
      </c>
      <c r="F21" s="20">
        <f>'มิ.ย'!F21</f>
        <v>9000</v>
      </c>
      <c r="H21" s="23"/>
      <c r="J21" s="23"/>
    </row>
    <row r="22" spans="1:10" s="22" customFormat="1" ht="16.5" customHeight="1">
      <c r="A22" s="24" t="s">
        <v>15</v>
      </c>
      <c r="B22" s="25"/>
      <c r="C22" s="26"/>
      <c r="D22" s="27" t="s">
        <v>45</v>
      </c>
      <c r="E22" s="20">
        <f>'มิ.ย'!E22</f>
        <v>0</v>
      </c>
      <c r="F22" s="20">
        <f>'มิ.ย'!F22+97363.29-68147.38</f>
        <v>2794830.39</v>
      </c>
      <c r="H22" s="23"/>
      <c r="J22" s="23"/>
    </row>
    <row r="23" spans="1:10" s="22" customFormat="1" ht="16.5" customHeight="1">
      <c r="A23" s="24" t="s">
        <v>63</v>
      </c>
      <c r="B23" s="25"/>
      <c r="C23" s="26"/>
      <c r="D23" s="27"/>
      <c r="E23" s="20">
        <f>'มิ.ย'!E23</f>
        <v>0</v>
      </c>
      <c r="F23" s="20">
        <f>'มิ.ย'!F23</f>
        <v>540910</v>
      </c>
      <c r="H23" s="23"/>
      <c r="J23" s="23"/>
    </row>
    <row r="24" spans="1:10" s="22" customFormat="1" ht="16.5" customHeight="1">
      <c r="A24" s="24" t="s">
        <v>81</v>
      </c>
      <c r="B24" s="25"/>
      <c r="C24" s="26"/>
      <c r="D24" s="27"/>
      <c r="E24" s="20">
        <f>'มิ.ย'!E24</f>
        <v>0</v>
      </c>
      <c r="F24" s="20">
        <f>'มิ.ย'!F24</f>
        <v>24000</v>
      </c>
      <c r="H24" s="23"/>
      <c r="J24" s="23"/>
    </row>
    <row r="25" spans="1:10" s="22" customFormat="1" ht="16.5" customHeight="1">
      <c r="A25" s="24" t="s">
        <v>38</v>
      </c>
      <c r="B25" s="25"/>
      <c r="C25" s="26"/>
      <c r="D25" s="27" t="s">
        <v>46</v>
      </c>
      <c r="E25" s="20">
        <f>'มิ.ย'!E25</f>
        <v>0</v>
      </c>
      <c r="F25" s="20">
        <f>'มิ.ย'!F25</f>
        <v>4390597.31</v>
      </c>
      <c r="H25" s="23"/>
      <c r="J25" s="23"/>
    </row>
    <row r="26" spans="1:10" s="22" customFormat="1" ht="16.5" customHeight="1">
      <c r="A26" s="24" t="s">
        <v>39</v>
      </c>
      <c r="B26" s="25"/>
      <c r="C26" s="26"/>
      <c r="D26" s="27" t="s">
        <v>29</v>
      </c>
      <c r="E26" s="20">
        <f>'มิ.ย'!E26</f>
        <v>0</v>
      </c>
      <c r="F26" s="20">
        <f>'มิ.ย'!F26-1021736.45</f>
        <v>11075507.14</v>
      </c>
      <c r="H26" s="23"/>
      <c r="J26" s="23"/>
    </row>
    <row r="27" spans="1:10" s="22" customFormat="1" ht="16.5" customHeight="1">
      <c r="A27" s="24" t="s">
        <v>40</v>
      </c>
      <c r="B27" s="25"/>
      <c r="C27" s="26"/>
      <c r="D27" s="27" t="s">
        <v>31</v>
      </c>
      <c r="E27" s="20" t="str">
        <f>'มิ.ย'!E27</f>
        <v>-</v>
      </c>
      <c r="F27" s="20">
        <f>'มิ.ย'!F27</f>
        <v>0</v>
      </c>
      <c r="H27" s="23"/>
      <c r="J27" s="23"/>
    </row>
    <row r="28" spans="1:10" s="22" customFormat="1" ht="16.5" customHeight="1">
      <c r="A28" s="24" t="s">
        <v>14</v>
      </c>
      <c r="B28" s="25"/>
      <c r="C28" s="26"/>
      <c r="D28" s="27" t="s">
        <v>47</v>
      </c>
      <c r="E28" s="20">
        <f>'มิ.ย'!E28+11153</f>
        <v>6043137</v>
      </c>
      <c r="F28" s="20">
        <f>'ก.พ'!F28</f>
        <v>0</v>
      </c>
      <c r="H28" s="23"/>
      <c r="J28" s="23"/>
    </row>
    <row r="29" spans="1:10" s="22" customFormat="1" ht="16.5" customHeight="1">
      <c r="A29" s="24" t="s">
        <v>70</v>
      </c>
      <c r="B29" s="25"/>
      <c r="C29" s="26"/>
      <c r="D29" s="27" t="s">
        <v>74</v>
      </c>
      <c r="E29" s="20">
        <f>'มิ.ย'!E29+533770</f>
        <v>2408548</v>
      </c>
      <c r="F29" s="20">
        <f>'ก.พ'!F29</f>
        <v>0</v>
      </c>
      <c r="H29" s="23"/>
      <c r="J29" s="23"/>
    </row>
    <row r="30" spans="1:10" s="22" customFormat="1" ht="16.5" customHeight="1">
      <c r="A30" s="24" t="s">
        <v>78</v>
      </c>
      <c r="B30" s="25"/>
      <c r="C30" s="26"/>
      <c r="D30" s="27" t="s">
        <v>48</v>
      </c>
      <c r="E30" s="20">
        <f>'มิ.ย'!E30+214260</f>
        <v>5088153.07</v>
      </c>
      <c r="F30" s="20">
        <f>'ธ.ค'!F29</f>
        <v>0</v>
      </c>
      <c r="H30" s="23"/>
      <c r="J30" s="23"/>
    </row>
    <row r="31" spans="1:10" s="22" customFormat="1" ht="16.5" customHeight="1">
      <c r="A31" s="24" t="s">
        <v>79</v>
      </c>
      <c r="B31" s="25"/>
      <c r="C31" s="26"/>
      <c r="D31" s="27" t="s">
        <v>21</v>
      </c>
      <c r="E31" s="20" t="e">
        <f>'มิ.ย'!E31+549980</f>
        <v>#VALUE!</v>
      </c>
      <c r="F31" s="20">
        <f>'ธ.ค'!F30</f>
        <v>0</v>
      </c>
      <c r="H31" s="23"/>
      <c r="J31" s="23"/>
    </row>
    <row r="32" spans="1:10" s="22" customFormat="1" ht="16.5" customHeight="1">
      <c r="A32" s="24" t="s">
        <v>71</v>
      </c>
      <c r="B32" s="25"/>
      <c r="C32" s="26"/>
      <c r="D32" s="27" t="s">
        <v>75</v>
      </c>
      <c r="E32" s="20">
        <f>'มิ.ย'!E32+60010</f>
        <v>237766.25</v>
      </c>
      <c r="F32" s="20">
        <f>'ธ.ค'!F31</f>
        <v>0</v>
      </c>
      <c r="H32" s="23"/>
      <c r="J32" s="23"/>
    </row>
    <row r="33" spans="1:10" s="22" customFormat="1" ht="16.5" customHeight="1">
      <c r="A33" s="24" t="s">
        <v>7</v>
      </c>
      <c r="B33" s="25"/>
      <c r="C33" s="26"/>
      <c r="D33" s="27" t="s">
        <v>22</v>
      </c>
      <c r="E33" s="20">
        <f>'มิ.ย'!E33+28380</f>
        <v>2193593.76</v>
      </c>
      <c r="F33" s="20">
        <f>'ธ.ค'!F32</f>
        <v>0</v>
      </c>
      <c r="H33" s="23" t="e">
        <f>SUM(E28:E42)</f>
        <v>#VALUE!</v>
      </c>
      <c r="J33" s="23"/>
    </row>
    <row r="34" spans="1:10" s="22" customFormat="1" ht="16.5" customHeight="1">
      <c r="A34" s="24" t="s">
        <v>8</v>
      </c>
      <c r="B34" s="25"/>
      <c r="C34" s="26"/>
      <c r="D34" s="27" t="s">
        <v>23</v>
      </c>
      <c r="E34" s="20" t="e">
        <f>'มิ.ย'!E34+181867-3800</f>
        <v>#VALUE!</v>
      </c>
      <c r="F34" s="20">
        <f>'ธ.ค'!F33</f>
        <v>0</v>
      </c>
      <c r="H34" s="23"/>
      <c r="J34" s="23"/>
    </row>
    <row r="35" spans="1:10" s="22" customFormat="1" ht="16.5" customHeight="1">
      <c r="A35" s="24" t="s">
        <v>72</v>
      </c>
      <c r="B35" s="25"/>
      <c r="C35" s="26"/>
      <c r="D35" s="27" t="s">
        <v>76</v>
      </c>
      <c r="E35" s="20">
        <f>'มิ.ย'!E35+101500</f>
        <v>1327460.72</v>
      </c>
      <c r="F35" s="20">
        <f>'ธ.ค'!F34</f>
        <v>0</v>
      </c>
      <c r="H35" s="23"/>
      <c r="J35" s="23"/>
    </row>
    <row r="36" spans="1:10" s="22" customFormat="1" ht="16.5" customHeight="1">
      <c r="A36" s="24" t="s">
        <v>9</v>
      </c>
      <c r="B36" s="25"/>
      <c r="C36" s="26"/>
      <c r="D36" s="27" t="s">
        <v>24</v>
      </c>
      <c r="E36" s="20" t="e">
        <f>'มิ.ย'!E36+347173.68</f>
        <v>#VALUE!</v>
      </c>
      <c r="F36" s="20">
        <f>'ธ.ค'!F35</f>
        <v>0</v>
      </c>
      <c r="H36" s="23"/>
      <c r="J36" s="23"/>
    </row>
    <row r="37" spans="1:10" s="22" customFormat="1" ht="16.5" customHeight="1">
      <c r="A37" s="24" t="s">
        <v>73</v>
      </c>
      <c r="B37" s="25"/>
      <c r="C37" s="26"/>
      <c r="D37" s="27" t="s">
        <v>77</v>
      </c>
      <c r="E37" s="20">
        <f>'มิ.ย'!E37</f>
        <v>301289.41</v>
      </c>
      <c r="F37" s="20">
        <f>'ธ.ค'!F36</f>
        <v>0</v>
      </c>
      <c r="H37" s="23"/>
      <c r="J37" s="23"/>
    </row>
    <row r="38" spans="1:10" s="22" customFormat="1" ht="16.5" customHeight="1">
      <c r="A38" s="24" t="s">
        <v>10</v>
      </c>
      <c r="B38" s="25"/>
      <c r="C38" s="26"/>
      <c r="D38" s="27" t="s">
        <v>25</v>
      </c>
      <c r="E38" s="20">
        <f>'มิ.ย'!E38+42967.18</f>
        <v>247145.55</v>
      </c>
      <c r="F38" s="20">
        <f>'ธ.ค'!F37</f>
        <v>0</v>
      </c>
      <c r="H38" s="23"/>
      <c r="J38" s="23"/>
    </row>
    <row r="39" spans="1:10" s="22" customFormat="1" ht="16.5" customHeight="1">
      <c r="A39" s="24" t="s">
        <v>12</v>
      </c>
      <c r="B39" s="25"/>
      <c r="C39" s="26"/>
      <c r="D39" s="27" t="s">
        <v>27</v>
      </c>
      <c r="E39" s="20">
        <f>'มิ.ย'!E39+10900</f>
        <v>1022800</v>
      </c>
      <c r="F39" s="20">
        <f>'ธ.ค'!F38</f>
        <v>0</v>
      </c>
      <c r="H39" s="23"/>
      <c r="J39" s="23"/>
    </row>
    <row r="40" spans="1:10" s="22" customFormat="1" ht="16.5" customHeight="1">
      <c r="A40" s="24" t="s">
        <v>13</v>
      </c>
      <c r="B40" s="25"/>
      <c r="C40" s="26"/>
      <c r="D40" s="27" t="s">
        <v>28</v>
      </c>
      <c r="E40" s="20">
        <f>'มิ.ย'!E40</f>
        <v>0</v>
      </c>
      <c r="F40" s="20">
        <f>'ธ.ค'!F39</f>
        <v>0</v>
      </c>
      <c r="H40" s="23"/>
      <c r="J40" s="23"/>
    </row>
    <row r="41" spans="1:10" s="22" customFormat="1" ht="16.5" customHeight="1">
      <c r="A41" s="24" t="s">
        <v>84</v>
      </c>
      <c r="B41" s="25"/>
      <c r="C41" s="26"/>
      <c r="D41" s="27" t="s">
        <v>85</v>
      </c>
      <c r="E41" s="20">
        <f>'มิ.ย'!E41+406600</f>
        <v>2439600</v>
      </c>
      <c r="F41" s="20">
        <f>'ธ.ค'!F40</f>
        <v>0</v>
      </c>
      <c r="H41" s="23"/>
      <c r="J41" s="23"/>
    </row>
    <row r="42" spans="1:10" s="22" customFormat="1" ht="16.5" customHeight="1">
      <c r="A42" s="24" t="s">
        <v>11</v>
      </c>
      <c r="B42" s="25"/>
      <c r="C42" s="26"/>
      <c r="D42" s="27" t="s">
        <v>26</v>
      </c>
      <c r="E42" s="20">
        <f>'มิ.ย'!E42+282199.82</f>
        <v>312199.82</v>
      </c>
      <c r="F42" s="20">
        <f>'ธ.ค'!F41</f>
        <v>0</v>
      </c>
      <c r="H42" s="23"/>
      <c r="J42" s="23"/>
    </row>
    <row r="43" spans="1:10" s="22" customFormat="1" ht="18.75" customHeight="1" thickBot="1">
      <c r="A43" s="139" t="s">
        <v>16</v>
      </c>
      <c r="B43" s="140"/>
      <c r="C43" s="141"/>
      <c r="D43" s="29"/>
      <c r="E43" s="30" t="e">
        <f>SUM(E5:E42)</f>
        <v>#VALUE!</v>
      </c>
      <c r="F43" s="30">
        <f>SUM(F5:F42)</f>
        <v>50713720.25</v>
      </c>
      <c r="G43" s="28" t="e">
        <f>E43-F43</f>
        <v>#VALUE!</v>
      </c>
      <c r="H43" s="23"/>
      <c r="J43" s="23"/>
    </row>
    <row r="44" spans="1:16" s="7" customFormat="1" ht="16.5" customHeight="1" thickTop="1">
      <c r="A44" s="14"/>
      <c r="B44" s="14"/>
      <c r="C44" s="14"/>
      <c r="D44" s="15"/>
      <c r="E44" s="11"/>
      <c r="F44" s="11"/>
      <c r="G44" s="10"/>
      <c r="H44" s="6"/>
      <c r="I44" s="4"/>
      <c r="J44" s="6"/>
      <c r="K44" s="4"/>
      <c r="L44" s="4"/>
      <c r="M44" s="4"/>
      <c r="N44" s="4"/>
      <c r="O44" s="4"/>
      <c r="P44" s="4"/>
    </row>
    <row r="45" spans="1:16" s="7" customFormat="1" ht="21" customHeight="1">
      <c r="A45" s="31" t="s">
        <v>33</v>
      </c>
      <c r="B45" s="31"/>
      <c r="C45" s="31" t="s">
        <v>34</v>
      </c>
      <c r="D45" s="31"/>
      <c r="E45" s="31" t="s">
        <v>35</v>
      </c>
      <c r="F45" s="31"/>
      <c r="G45" s="4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18" customHeight="1">
      <c r="A46" s="132" t="s">
        <v>64</v>
      </c>
      <c r="B46" s="132"/>
      <c r="C46" s="132" t="s">
        <v>65</v>
      </c>
      <c r="D46" s="132"/>
      <c r="E46" s="142" t="s">
        <v>66</v>
      </c>
      <c r="F46" s="142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32" t="s">
        <v>32</v>
      </c>
      <c r="B47" s="132"/>
      <c r="C47" s="132" t="s">
        <v>68</v>
      </c>
      <c r="D47" s="132"/>
      <c r="E47" s="133" t="s">
        <v>67</v>
      </c>
      <c r="F47" s="133"/>
      <c r="G47" s="4"/>
      <c r="H47" s="6"/>
      <c r="I47" s="4"/>
      <c r="J47" s="6"/>
      <c r="K47" s="4"/>
      <c r="L47" s="4"/>
      <c r="M47" s="4"/>
      <c r="N47" s="4"/>
      <c r="O47" s="4"/>
      <c r="P47" s="4"/>
    </row>
  </sheetData>
  <sheetProtection/>
  <mergeCells count="11">
    <mergeCell ref="A47:B47"/>
    <mergeCell ref="C47:D47"/>
    <mergeCell ref="E47:F47"/>
    <mergeCell ref="A1:F1"/>
    <mergeCell ref="A2:F2"/>
    <mergeCell ref="A3:F3"/>
    <mergeCell ref="A4:C4"/>
    <mergeCell ref="A43:C43"/>
    <mergeCell ref="A46:B46"/>
    <mergeCell ref="C46:D46"/>
    <mergeCell ref="E46:F46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31">
      <selection activeCell="E43" sqref="E43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9.421875" style="0" customWidth="1"/>
    <col min="10" max="10" width="14.00390625" style="2" bestFit="1" customWidth="1"/>
  </cols>
  <sheetData>
    <row r="1" spans="1:16" s="7" customFormat="1" ht="19.5" customHeight="1">
      <c r="A1" s="134" t="s">
        <v>51</v>
      </c>
      <c r="B1" s="134"/>
      <c r="C1" s="134"/>
      <c r="D1" s="134"/>
      <c r="E1" s="134"/>
      <c r="F1" s="134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34" t="s">
        <v>83</v>
      </c>
      <c r="B2" s="134"/>
      <c r="C2" s="134"/>
      <c r="D2" s="134"/>
      <c r="E2" s="134"/>
      <c r="F2" s="134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35" t="s">
        <v>87</v>
      </c>
      <c r="B3" s="135"/>
      <c r="C3" s="135"/>
      <c r="D3" s="135"/>
      <c r="E3" s="135"/>
      <c r="F3" s="135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36" t="s">
        <v>1</v>
      </c>
      <c r="B4" s="137"/>
      <c r="C4" s="138"/>
      <c r="D4" s="8" t="s">
        <v>2</v>
      </c>
      <c r="E4" s="9" t="s">
        <v>3</v>
      </c>
      <c r="F4" s="9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16" t="s">
        <v>5</v>
      </c>
      <c r="B5" s="17"/>
      <c r="C5" s="18"/>
      <c r="D5" s="19" t="s">
        <v>17</v>
      </c>
      <c r="E5" s="20">
        <f>'ก.ค'!E5</f>
        <v>0</v>
      </c>
      <c r="F5" s="21"/>
      <c r="H5" s="23"/>
      <c r="J5" s="23"/>
    </row>
    <row r="6" spans="1:10" s="22" customFormat="1" ht="16.5" customHeight="1">
      <c r="A6" s="24" t="s">
        <v>52</v>
      </c>
      <c r="B6" s="25"/>
      <c r="C6" s="26"/>
      <c r="D6" s="27" t="s">
        <v>18</v>
      </c>
      <c r="E6" s="20">
        <f>'ก.ค'!E6+64879-2866666.76+878618.04</f>
        <v>14585774.030000001</v>
      </c>
      <c r="F6" s="20"/>
      <c r="H6" s="23"/>
      <c r="J6" s="23"/>
    </row>
    <row r="7" spans="1:10" s="22" customFormat="1" ht="16.5" customHeight="1">
      <c r="A7" s="24" t="s">
        <v>53</v>
      </c>
      <c r="B7" s="25"/>
      <c r="C7" s="26"/>
      <c r="D7" s="27" t="s">
        <v>18</v>
      </c>
      <c r="E7" s="20">
        <f>'ก.ค'!E7</f>
        <v>128049.97</v>
      </c>
      <c r="F7" s="20"/>
      <c r="H7" s="23"/>
      <c r="J7" s="23"/>
    </row>
    <row r="8" spans="1:10" s="22" customFormat="1" ht="16.5" customHeight="1">
      <c r="A8" s="24" t="s">
        <v>54</v>
      </c>
      <c r="B8" s="25"/>
      <c r="C8" s="26"/>
      <c r="D8" s="27" t="s">
        <v>18</v>
      </c>
      <c r="E8" s="20">
        <f>'ก.ค'!E8+20793.23</f>
        <v>1094796.38</v>
      </c>
      <c r="F8" s="20"/>
      <c r="H8" s="23"/>
      <c r="J8" s="23"/>
    </row>
    <row r="9" spans="1:10" s="22" customFormat="1" ht="16.5" customHeight="1">
      <c r="A9" s="24" t="s">
        <v>55</v>
      </c>
      <c r="B9" s="25"/>
      <c r="C9" s="26"/>
      <c r="D9" s="27" t="s">
        <v>18</v>
      </c>
      <c r="E9" s="20">
        <f>'ก.ค'!E9</f>
        <v>13890.11</v>
      </c>
      <c r="F9" s="20"/>
      <c r="H9" s="23">
        <f>E11+E12</f>
        <v>11697819.38</v>
      </c>
      <c r="J9" s="23"/>
    </row>
    <row r="10" spans="1:10" s="22" customFormat="1" ht="16.5" customHeight="1">
      <c r="A10" s="24" t="s">
        <v>56</v>
      </c>
      <c r="B10" s="25"/>
      <c r="C10" s="26"/>
      <c r="D10" s="27" t="s">
        <v>18</v>
      </c>
      <c r="E10" s="20">
        <f>'ก.ค'!E10</f>
        <v>12528.14</v>
      </c>
      <c r="F10" s="20"/>
      <c r="G10" s="28">
        <f>SUM(E5:E13)</f>
        <v>27532858.010000005</v>
      </c>
      <c r="H10" s="23"/>
      <c r="I10" s="28"/>
      <c r="J10" s="23"/>
    </row>
    <row r="11" spans="1:10" s="22" customFormat="1" ht="16.5" customHeight="1">
      <c r="A11" s="24" t="s">
        <v>57</v>
      </c>
      <c r="B11" s="25"/>
      <c r="C11" s="26"/>
      <c r="D11" s="27" t="s">
        <v>18</v>
      </c>
      <c r="E11" s="20">
        <f>'ก.ค'!E11-21446+7875</f>
        <v>12181161.770000001</v>
      </c>
      <c r="F11" s="20"/>
      <c r="G11" s="28" t="s">
        <v>69</v>
      </c>
      <c r="H11" s="23">
        <v>4128908.21</v>
      </c>
      <c r="I11" s="28">
        <f>E11-H11</f>
        <v>8052253.560000001</v>
      </c>
      <c r="J11" s="23"/>
    </row>
    <row r="12" spans="1:10" s="22" customFormat="1" ht="16.5" customHeight="1">
      <c r="A12" s="24" t="s">
        <v>58</v>
      </c>
      <c r="B12" s="25"/>
      <c r="C12" s="26"/>
      <c r="D12" s="27" t="s">
        <v>19</v>
      </c>
      <c r="E12" s="20">
        <f>'ก.ค'!E12+3241522.72-792862+21446-878618.04</f>
        <v>-483342.39000000013</v>
      </c>
      <c r="F12" s="20"/>
      <c r="G12" s="28"/>
      <c r="H12" s="23"/>
      <c r="J12" s="23"/>
    </row>
    <row r="13" spans="1:10" s="22" customFormat="1" ht="16.5" customHeight="1">
      <c r="A13" s="24" t="s">
        <v>59</v>
      </c>
      <c r="B13" s="25"/>
      <c r="C13" s="26"/>
      <c r="D13" s="27" t="s">
        <v>19</v>
      </c>
      <c r="E13" s="20" t="str">
        <f>'ก.ค'!E13</f>
        <v>-</v>
      </c>
      <c r="F13" s="20"/>
      <c r="H13" s="23"/>
      <c r="I13" s="28"/>
      <c r="J13" s="23"/>
    </row>
    <row r="14" spans="1:10" s="22" customFormat="1" ht="16.5" customHeight="1">
      <c r="A14" s="24" t="s">
        <v>6</v>
      </c>
      <c r="B14" s="25"/>
      <c r="C14" s="26"/>
      <c r="D14" s="27"/>
      <c r="E14" s="20">
        <f>'ก.ค'!E14</f>
        <v>28750</v>
      </c>
      <c r="F14" s="20"/>
      <c r="H14" s="23"/>
      <c r="J14" s="23"/>
    </row>
    <row r="15" spans="1:10" s="22" customFormat="1" ht="16.5" customHeight="1">
      <c r="A15" s="24" t="s">
        <v>60</v>
      </c>
      <c r="B15" s="25"/>
      <c r="C15" s="26"/>
      <c r="D15" s="27" t="s">
        <v>20</v>
      </c>
      <c r="E15" s="20">
        <f>'ก.ค'!E15+24200-34220</f>
        <v>63719.17</v>
      </c>
      <c r="F15" s="20"/>
      <c r="H15" s="23"/>
      <c r="J15" s="23"/>
    </row>
    <row r="16" spans="1:10" s="22" customFormat="1" ht="16.5" customHeight="1">
      <c r="A16" s="24" t="s">
        <v>61</v>
      </c>
      <c r="B16" s="25"/>
      <c r="C16" s="26"/>
      <c r="D16" s="27" t="s">
        <v>41</v>
      </c>
      <c r="E16" s="20">
        <f>'ก.ค'!E16</f>
        <v>9000</v>
      </c>
      <c r="F16" s="20"/>
      <c r="H16" s="23"/>
      <c r="J16" s="23"/>
    </row>
    <row r="17" spans="1:10" s="22" customFormat="1" ht="16.5" customHeight="1">
      <c r="A17" s="24" t="s">
        <v>50</v>
      </c>
      <c r="B17" s="25"/>
      <c r="C17" s="26"/>
      <c r="D17" s="27" t="s">
        <v>30</v>
      </c>
      <c r="E17" s="20">
        <f>'ก.ค'!E17</f>
        <v>24000</v>
      </c>
      <c r="F17" s="20"/>
      <c r="H17" s="23">
        <f>SUM(E5:E13)</f>
        <v>27532858.010000005</v>
      </c>
      <c r="J17" s="23"/>
    </row>
    <row r="18" spans="1:10" s="22" customFormat="1" ht="16.5" customHeight="1">
      <c r="A18" s="24" t="s">
        <v>80</v>
      </c>
      <c r="B18" s="25"/>
      <c r="C18" s="26"/>
      <c r="D18" s="27"/>
      <c r="E18" s="20">
        <f>'ก.ค'!E18</f>
        <v>24000</v>
      </c>
      <c r="F18" s="20"/>
      <c r="H18" s="23"/>
      <c r="J18" s="23"/>
    </row>
    <row r="19" spans="1:10" s="22" customFormat="1" ht="16.5" customHeight="1">
      <c r="A19" s="24" t="s">
        <v>36</v>
      </c>
      <c r="B19" s="25"/>
      <c r="C19" s="26"/>
      <c r="D19" s="27" t="s">
        <v>42</v>
      </c>
      <c r="E19" s="20">
        <f>'ก.ค'!E19</f>
        <v>0</v>
      </c>
      <c r="F19" s="20">
        <f>'ก.ค'!F19+3298196.06</f>
        <v>34687682.52</v>
      </c>
      <c r="H19" s="23"/>
      <c r="J19" s="23"/>
    </row>
    <row r="20" spans="1:10" s="22" customFormat="1" ht="16.5" customHeight="1">
      <c r="A20" s="24" t="s">
        <v>62</v>
      </c>
      <c r="B20" s="25"/>
      <c r="C20" s="26"/>
      <c r="D20" s="27" t="s">
        <v>43</v>
      </c>
      <c r="E20" s="20">
        <f>'ก.ค'!E20</f>
        <v>0</v>
      </c>
      <c r="F20" s="20">
        <f>'ก.ค'!F20</f>
        <v>489388.95</v>
      </c>
      <c r="H20" s="23"/>
      <c r="J20" s="23"/>
    </row>
    <row r="21" spans="1:10" s="22" customFormat="1" ht="16.5" customHeight="1">
      <c r="A21" s="24" t="s">
        <v>37</v>
      </c>
      <c r="B21" s="25"/>
      <c r="C21" s="26"/>
      <c r="D21" s="27" t="s">
        <v>44</v>
      </c>
      <c r="E21" s="20">
        <f>'ก.ค'!E21</f>
        <v>0</v>
      </c>
      <c r="F21" s="20">
        <f>'ก.ค'!F21</f>
        <v>9000</v>
      </c>
      <c r="H21" s="23"/>
      <c r="J21" s="23"/>
    </row>
    <row r="22" spans="1:10" s="22" customFormat="1" ht="16.5" customHeight="1">
      <c r="A22" s="24" t="s">
        <v>15</v>
      </c>
      <c r="B22" s="25"/>
      <c r="C22" s="26"/>
      <c r="D22" s="27" t="s">
        <v>45</v>
      </c>
      <c r="E22" s="20">
        <f>'ก.ค'!E22</f>
        <v>0</v>
      </c>
      <c r="F22" s="20">
        <f>'ก.ค'!F22+76342.42-64589.25</f>
        <v>2806583.56</v>
      </c>
      <c r="H22" s="23"/>
      <c r="J22" s="23"/>
    </row>
    <row r="23" spans="1:10" s="22" customFormat="1" ht="16.5" customHeight="1">
      <c r="A23" s="24" t="s">
        <v>63</v>
      </c>
      <c r="B23" s="25"/>
      <c r="C23" s="26"/>
      <c r="D23" s="27"/>
      <c r="E23" s="20">
        <f>'ก.ค'!E23</f>
        <v>0</v>
      </c>
      <c r="F23" s="20">
        <f>'ก.ค'!F23</f>
        <v>540910</v>
      </c>
      <c r="H23" s="23"/>
      <c r="J23" s="23"/>
    </row>
    <row r="24" spans="1:10" s="22" customFormat="1" ht="16.5" customHeight="1">
      <c r="A24" s="24" t="s">
        <v>81</v>
      </c>
      <c r="B24" s="25"/>
      <c r="C24" s="26"/>
      <c r="D24" s="27"/>
      <c r="E24" s="20">
        <f>'ก.ค'!E24</f>
        <v>0</v>
      </c>
      <c r="F24" s="20">
        <f>'ก.ค'!F24</f>
        <v>24000</v>
      </c>
      <c r="H24" s="23"/>
      <c r="J24" s="23"/>
    </row>
    <row r="25" spans="1:10" s="22" customFormat="1" ht="16.5" customHeight="1">
      <c r="A25" s="24" t="s">
        <v>38</v>
      </c>
      <c r="B25" s="25"/>
      <c r="C25" s="26"/>
      <c r="D25" s="27" t="s">
        <v>46</v>
      </c>
      <c r="E25" s="20">
        <f>'ก.ค'!E25</f>
        <v>0</v>
      </c>
      <c r="F25" s="20">
        <f>'ก.ค'!F25</f>
        <v>4390597.31</v>
      </c>
      <c r="H25" s="23"/>
      <c r="J25" s="23"/>
    </row>
    <row r="26" spans="1:10" s="22" customFormat="1" ht="16.5" customHeight="1">
      <c r="A26" s="24" t="s">
        <v>39</v>
      </c>
      <c r="B26" s="25"/>
      <c r="C26" s="26"/>
      <c r="D26" s="27" t="s">
        <v>29</v>
      </c>
      <c r="E26" s="20">
        <f>'ก.ค'!E26</f>
        <v>0</v>
      </c>
      <c r="F26" s="20">
        <f>'ก.ค'!F26-673000</f>
        <v>10402507.14</v>
      </c>
      <c r="H26" s="23"/>
      <c r="J26" s="23"/>
    </row>
    <row r="27" spans="1:10" s="22" customFormat="1" ht="16.5" customHeight="1">
      <c r="A27" s="24" t="s">
        <v>40</v>
      </c>
      <c r="B27" s="25"/>
      <c r="C27" s="26"/>
      <c r="D27" s="27" t="s">
        <v>31</v>
      </c>
      <c r="E27" s="20" t="str">
        <f>'ก.ค'!E27</f>
        <v>-</v>
      </c>
      <c r="F27" s="20">
        <f>'ก.ค'!F27</f>
        <v>0</v>
      </c>
      <c r="H27" s="23"/>
      <c r="J27" s="23"/>
    </row>
    <row r="28" spans="1:10" s="22" customFormat="1" ht="16.5" customHeight="1">
      <c r="A28" s="24" t="s">
        <v>14</v>
      </c>
      <c r="B28" s="25"/>
      <c r="C28" s="26"/>
      <c r="D28" s="27" t="s">
        <v>47</v>
      </c>
      <c r="E28" s="20">
        <f>'ก.ค'!E28+11153</f>
        <v>6054290</v>
      </c>
      <c r="F28" s="20">
        <f>'ก.พ'!F28</f>
        <v>0</v>
      </c>
      <c r="H28" s="23"/>
      <c r="J28" s="23"/>
    </row>
    <row r="29" spans="1:10" s="22" customFormat="1" ht="16.5" customHeight="1">
      <c r="A29" s="24" t="s">
        <v>70</v>
      </c>
      <c r="B29" s="25"/>
      <c r="C29" s="26"/>
      <c r="D29" s="27" t="s">
        <v>74</v>
      </c>
      <c r="E29" s="20">
        <f>'ก.ค'!E29+550670</f>
        <v>2959218</v>
      </c>
      <c r="F29" s="20">
        <f>'ก.พ'!F29</f>
        <v>0</v>
      </c>
      <c r="H29" s="23"/>
      <c r="J29" s="23"/>
    </row>
    <row r="30" spans="1:10" s="22" customFormat="1" ht="16.5" customHeight="1">
      <c r="A30" s="24" t="s">
        <v>78</v>
      </c>
      <c r="B30" s="25"/>
      <c r="C30" s="26"/>
      <c r="D30" s="27" t="s">
        <v>48</v>
      </c>
      <c r="E30" s="20">
        <f>'ก.ค'!E30+205465</f>
        <v>5293618.07</v>
      </c>
      <c r="F30" s="20">
        <f>'ธ.ค'!F29</f>
        <v>0</v>
      </c>
      <c r="H30" s="23"/>
      <c r="J30" s="23"/>
    </row>
    <row r="31" spans="1:10" s="22" customFormat="1" ht="16.5" customHeight="1">
      <c r="A31" s="24" t="s">
        <v>79</v>
      </c>
      <c r="B31" s="25"/>
      <c r="C31" s="26"/>
      <c r="D31" s="27" t="s">
        <v>21</v>
      </c>
      <c r="E31" s="20" t="e">
        <f>'ก.ค'!E31+550588</f>
        <v>#VALUE!</v>
      </c>
      <c r="F31" s="20">
        <f>'ธ.ค'!F30</f>
        <v>0</v>
      </c>
      <c r="H31" s="23"/>
      <c r="J31" s="23"/>
    </row>
    <row r="32" spans="1:10" s="22" customFormat="1" ht="16.5" customHeight="1">
      <c r="A32" s="24" t="s">
        <v>71</v>
      </c>
      <c r="B32" s="25"/>
      <c r="C32" s="26"/>
      <c r="D32" s="27" t="s">
        <v>75</v>
      </c>
      <c r="E32" s="20">
        <f>'ก.ค'!E32+60010</f>
        <v>297776.25</v>
      </c>
      <c r="F32" s="20">
        <f>'ธ.ค'!F31</f>
        <v>0</v>
      </c>
      <c r="H32" s="23"/>
      <c r="J32" s="23"/>
    </row>
    <row r="33" spans="1:10" s="22" customFormat="1" ht="16.5" customHeight="1">
      <c r="A33" s="24" t="s">
        <v>7</v>
      </c>
      <c r="B33" s="25"/>
      <c r="C33" s="26"/>
      <c r="D33" s="27" t="s">
        <v>22</v>
      </c>
      <c r="E33" s="20">
        <f>'ก.ค'!E33+26643.5</f>
        <v>2220237.26</v>
      </c>
      <c r="F33" s="20">
        <f>'ธ.ค'!F32</f>
        <v>0</v>
      </c>
      <c r="H33" s="23" t="e">
        <f>SUM(E28:E42)</f>
        <v>#VALUE!</v>
      </c>
      <c r="J33" s="23"/>
    </row>
    <row r="34" spans="1:10" s="22" customFormat="1" ht="16.5" customHeight="1">
      <c r="A34" s="24" t="s">
        <v>8</v>
      </c>
      <c r="B34" s="25"/>
      <c r="C34" s="26"/>
      <c r="D34" s="27" t="s">
        <v>23</v>
      </c>
      <c r="E34" s="20" t="e">
        <f>'ก.ค'!E34+34220+284685</f>
        <v>#VALUE!</v>
      </c>
      <c r="F34" s="20">
        <f>'ธ.ค'!F33</f>
        <v>0</v>
      </c>
      <c r="H34" s="23"/>
      <c r="J34" s="23"/>
    </row>
    <row r="35" spans="1:10" s="22" customFormat="1" ht="16.5" customHeight="1">
      <c r="A35" s="24" t="s">
        <v>72</v>
      </c>
      <c r="B35" s="25"/>
      <c r="C35" s="26"/>
      <c r="D35" s="27" t="s">
        <v>76</v>
      </c>
      <c r="E35" s="20">
        <f>'ก.ค'!E35+45000</f>
        <v>1372460.72</v>
      </c>
      <c r="F35" s="20">
        <f>'ธ.ค'!F34</f>
        <v>0</v>
      </c>
      <c r="H35" s="23"/>
      <c r="J35" s="23"/>
    </row>
    <row r="36" spans="1:10" s="22" customFormat="1" ht="16.5" customHeight="1">
      <c r="A36" s="24" t="s">
        <v>9</v>
      </c>
      <c r="B36" s="25"/>
      <c r="C36" s="26"/>
      <c r="D36" s="27" t="s">
        <v>24</v>
      </c>
      <c r="E36" s="20" t="e">
        <f>'ก.ค'!E36+329798.22</f>
        <v>#VALUE!</v>
      </c>
      <c r="F36" s="20">
        <f>'ธ.ค'!F35</f>
        <v>0</v>
      </c>
      <c r="H36" s="23"/>
      <c r="J36" s="23"/>
    </row>
    <row r="37" spans="1:10" s="22" customFormat="1" ht="16.5" customHeight="1">
      <c r="A37" s="24" t="s">
        <v>73</v>
      </c>
      <c r="B37" s="25"/>
      <c r="C37" s="26"/>
      <c r="D37" s="27" t="s">
        <v>77</v>
      </c>
      <c r="E37" s="20">
        <f>'ก.ค'!E37</f>
        <v>301289.41</v>
      </c>
      <c r="F37" s="20">
        <f>'ธ.ค'!F36</f>
        <v>0</v>
      </c>
      <c r="H37" s="23"/>
      <c r="J37" s="23"/>
    </row>
    <row r="38" spans="1:10" s="22" customFormat="1" ht="16.5" customHeight="1">
      <c r="A38" s="24" t="s">
        <v>10</v>
      </c>
      <c r="B38" s="25"/>
      <c r="C38" s="26"/>
      <c r="D38" s="27" t="s">
        <v>25</v>
      </c>
      <c r="E38" s="20">
        <f>'ก.ค'!E38+34995.32</f>
        <v>282140.87</v>
      </c>
      <c r="F38" s="20">
        <f>'ธ.ค'!F37</f>
        <v>0</v>
      </c>
      <c r="H38" s="23"/>
      <c r="J38" s="23"/>
    </row>
    <row r="39" spans="1:10" s="22" customFormat="1" ht="16.5" customHeight="1">
      <c r="A39" s="24" t="s">
        <v>12</v>
      </c>
      <c r="B39" s="25"/>
      <c r="C39" s="26"/>
      <c r="D39" s="27" t="s">
        <v>27</v>
      </c>
      <c r="E39" s="20">
        <f>'ก.ค'!E39+51200</f>
        <v>1074000</v>
      </c>
      <c r="F39" s="20">
        <f>'ธ.ค'!F38</f>
        <v>0</v>
      </c>
      <c r="H39" s="23"/>
      <c r="J39" s="23"/>
    </row>
    <row r="40" spans="1:10" s="22" customFormat="1" ht="16.5" customHeight="1">
      <c r="A40" s="24" t="s">
        <v>13</v>
      </c>
      <c r="B40" s="25"/>
      <c r="C40" s="26"/>
      <c r="D40" s="27" t="s">
        <v>28</v>
      </c>
      <c r="E40" s="20">
        <f>'ก.ค'!E40+93000</f>
        <v>93000</v>
      </c>
      <c r="F40" s="20">
        <f>'ธ.ค'!F39</f>
        <v>0</v>
      </c>
      <c r="H40" s="23"/>
      <c r="J40" s="23"/>
    </row>
    <row r="41" spans="1:10" s="22" customFormat="1" ht="16.5" customHeight="1">
      <c r="A41" s="24" t="s">
        <v>84</v>
      </c>
      <c r="B41" s="25"/>
      <c r="C41" s="26"/>
      <c r="D41" s="27" t="s">
        <v>85</v>
      </c>
      <c r="E41" s="20">
        <f>'ก.ค'!E41</f>
        <v>2439600</v>
      </c>
      <c r="F41" s="20">
        <f>'ธ.ค'!F40</f>
        <v>0</v>
      </c>
      <c r="H41" s="23"/>
      <c r="J41" s="23"/>
    </row>
    <row r="42" spans="1:10" s="22" customFormat="1" ht="16.5" customHeight="1">
      <c r="A42" s="24" t="s">
        <v>11</v>
      </c>
      <c r="B42" s="25"/>
      <c r="C42" s="26"/>
      <c r="D42" s="27" t="s">
        <v>26</v>
      </c>
      <c r="E42" s="20">
        <f>'ก.ค'!E42+694000</f>
        <v>1006199.8200000001</v>
      </c>
      <c r="F42" s="20">
        <f>'ธ.ค'!F41</f>
        <v>0</v>
      </c>
      <c r="H42" s="23"/>
      <c r="J42" s="23"/>
    </row>
    <row r="43" spans="1:10" s="22" customFormat="1" ht="18.75" customHeight="1" thickBot="1">
      <c r="A43" s="139" t="s">
        <v>16</v>
      </c>
      <c r="B43" s="140"/>
      <c r="C43" s="141"/>
      <c r="D43" s="29"/>
      <c r="E43" s="30" t="e">
        <f>SUM(E5:E42)</f>
        <v>#VALUE!</v>
      </c>
      <c r="F43" s="30">
        <f>SUM(F5:F42)</f>
        <v>53350669.48000001</v>
      </c>
      <c r="G43" s="28" t="e">
        <f>E43-F43</f>
        <v>#VALUE!</v>
      </c>
      <c r="H43" s="23"/>
      <c r="J43" s="23"/>
    </row>
    <row r="44" spans="1:16" s="7" customFormat="1" ht="16.5" customHeight="1" thickTop="1">
      <c r="A44" s="14"/>
      <c r="B44" s="14"/>
      <c r="C44" s="14"/>
      <c r="D44" s="15"/>
      <c r="E44" s="11"/>
      <c r="F44" s="11"/>
      <c r="G44" s="10"/>
      <c r="H44" s="6"/>
      <c r="I44" s="4"/>
      <c r="J44" s="6"/>
      <c r="K44" s="4"/>
      <c r="L44" s="4"/>
      <c r="M44" s="4"/>
      <c r="N44" s="4"/>
      <c r="O44" s="4"/>
      <c r="P44" s="4"/>
    </row>
    <row r="45" spans="1:16" s="7" customFormat="1" ht="21" customHeight="1">
      <c r="A45" s="31" t="s">
        <v>33</v>
      </c>
      <c r="B45" s="31"/>
      <c r="C45" s="31" t="s">
        <v>34</v>
      </c>
      <c r="D45" s="31"/>
      <c r="E45" s="31" t="s">
        <v>35</v>
      </c>
      <c r="F45" s="31"/>
      <c r="G45" s="4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18" customHeight="1">
      <c r="A46" s="132" t="s">
        <v>64</v>
      </c>
      <c r="B46" s="132"/>
      <c r="C46" s="132" t="s">
        <v>65</v>
      </c>
      <c r="D46" s="132"/>
      <c r="E46" s="142" t="s">
        <v>66</v>
      </c>
      <c r="F46" s="142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32" t="s">
        <v>32</v>
      </c>
      <c r="B47" s="132"/>
      <c r="C47" s="132" t="s">
        <v>68</v>
      </c>
      <c r="D47" s="132"/>
      <c r="E47" s="133" t="s">
        <v>67</v>
      </c>
      <c r="F47" s="133"/>
      <c r="G47" s="4"/>
      <c r="H47" s="6"/>
      <c r="I47" s="4"/>
      <c r="J47" s="6"/>
      <c r="K47" s="4"/>
      <c r="L47" s="4"/>
      <c r="M47" s="4"/>
      <c r="N47" s="4"/>
      <c r="O47" s="4"/>
      <c r="P47" s="4"/>
    </row>
  </sheetData>
  <sheetProtection/>
  <mergeCells count="11">
    <mergeCell ref="A1:F1"/>
    <mergeCell ref="A2:F2"/>
    <mergeCell ref="A3:F3"/>
    <mergeCell ref="A4:C4"/>
    <mergeCell ref="A43:C43"/>
    <mergeCell ref="A46:B46"/>
    <mergeCell ref="C46:D46"/>
    <mergeCell ref="E46:F46"/>
    <mergeCell ref="A47:B47"/>
    <mergeCell ref="C47:D47"/>
    <mergeCell ref="E47:F47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6"/>
  <sheetViews>
    <sheetView view="pageBreakPreview" zoomScaleSheetLayoutView="100" zoomScalePageLayoutView="0" workbookViewId="0" topLeftCell="A1">
      <selection activeCell="A5" sqref="A5:C42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9.421875" style="0" customWidth="1"/>
    <col min="10" max="10" width="14.00390625" style="2" bestFit="1" customWidth="1"/>
  </cols>
  <sheetData>
    <row r="1" spans="1:16" s="7" customFormat="1" ht="19.5" customHeight="1">
      <c r="A1" s="134" t="s">
        <v>51</v>
      </c>
      <c r="B1" s="134"/>
      <c r="C1" s="134"/>
      <c r="D1" s="134"/>
      <c r="E1" s="134"/>
      <c r="F1" s="134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34" t="s">
        <v>49</v>
      </c>
      <c r="B2" s="134"/>
      <c r="C2" s="134"/>
      <c r="D2" s="134"/>
      <c r="E2" s="134"/>
      <c r="F2" s="134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35" t="s">
        <v>92</v>
      </c>
      <c r="B3" s="135"/>
      <c r="C3" s="135"/>
      <c r="D3" s="135"/>
      <c r="E3" s="135"/>
      <c r="F3" s="135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16.5" customHeight="1">
      <c r="A4" s="143" t="s">
        <v>1</v>
      </c>
      <c r="B4" s="144"/>
      <c r="C4" s="145"/>
      <c r="D4" s="32" t="s">
        <v>2</v>
      </c>
      <c r="E4" s="33" t="s">
        <v>3</v>
      </c>
      <c r="F4" s="33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36" t="s">
        <v>5</v>
      </c>
      <c r="B5" s="37"/>
      <c r="C5" s="38"/>
      <c r="D5" s="39" t="s">
        <v>17</v>
      </c>
      <c r="E5" s="40">
        <f>'ส.ค'!E5</f>
        <v>0</v>
      </c>
      <c r="F5" s="41"/>
      <c r="H5" s="23"/>
      <c r="J5" s="23"/>
    </row>
    <row r="6" spans="1:10" s="22" customFormat="1" ht="16.5" customHeight="1">
      <c r="A6" s="42" t="s">
        <v>52</v>
      </c>
      <c r="B6" s="43"/>
      <c r="C6" s="44"/>
      <c r="D6" s="45" t="s">
        <v>18</v>
      </c>
      <c r="E6" s="40">
        <f>'ส.ค'!E6+132427.75-4151467.53+807859.69</f>
        <v>11374593.940000001</v>
      </c>
      <c r="F6" s="40"/>
      <c r="H6" s="23"/>
      <c r="J6" s="23"/>
    </row>
    <row r="7" spans="1:10" s="22" customFormat="1" ht="16.5" customHeight="1">
      <c r="A7" s="42" t="s">
        <v>53</v>
      </c>
      <c r="B7" s="43"/>
      <c r="C7" s="44"/>
      <c r="D7" s="45" t="s">
        <v>18</v>
      </c>
      <c r="E7" s="40">
        <f>'ส.ค'!E7+269.34</f>
        <v>128319.31</v>
      </c>
      <c r="F7" s="40"/>
      <c r="H7" s="23"/>
      <c r="J7" s="23"/>
    </row>
    <row r="8" spans="1:10" s="22" customFormat="1" ht="16.5" customHeight="1">
      <c r="A8" s="42" t="s">
        <v>54</v>
      </c>
      <c r="B8" s="43"/>
      <c r="C8" s="44"/>
      <c r="D8" s="45" t="s">
        <v>18</v>
      </c>
      <c r="E8" s="40">
        <f>'ส.ค'!E8+1759.1</f>
        <v>1096555.48</v>
      </c>
      <c r="F8" s="40"/>
      <c r="H8" s="23"/>
      <c r="J8" s="23"/>
    </row>
    <row r="9" spans="1:10" s="22" customFormat="1" ht="16.5" customHeight="1">
      <c r="A9" s="42" t="s">
        <v>55</v>
      </c>
      <c r="B9" s="43"/>
      <c r="C9" s="44"/>
      <c r="D9" s="45" t="s">
        <v>18</v>
      </c>
      <c r="E9" s="40">
        <f>'ส.ค'!E9+29.22</f>
        <v>13919.33</v>
      </c>
      <c r="F9" s="40"/>
      <c r="H9" s="23">
        <f>E11+E12</f>
        <v>24204060.159999996</v>
      </c>
      <c r="J9" s="23"/>
    </row>
    <row r="10" spans="1:10" s="22" customFormat="1" ht="16.5" customHeight="1">
      <c r="A10" s="42" t="s">
        <v>56</v>
      </c>
      <c r="B10" s="43"/>
      <c r="C10" s="44"/>
      <c r="D10" s="45" t="s">
        <v>18</v>
      </c>
      <c r="E10" s="40">
        <f>'ส.ค'!E10+26.35</f>
        <v>12554.49</v>
      </c>
      <c r="F10" s="40"/>
      <c r="G10" s="28">
        <f>SUM(E5:E13)</f>
        <v>36830002.71</v>
      </c>
      <c r="H10" s="23"/>
      <c r="I10" s="28"/>
      <c r="J10" s="23"/>
    </row>
    <row r="11" spans="1:10" s="22" customFormat="1" ht="16.5" customHeight="1">
      <c r="A11" s="42" t="s">
        <v>57</v>
      </c>
      <c r="B11" s="43"/>
      <c r="C11" s="44"/>
      <c r="D11" s="45" t="s">
        <v>18</v>
      </c>
      <c r="E11" s="40">
        <f>'ส.ค'!E11+58075.95+12000000+616856.18-21446-5975</f>
        <v>24828672.9</v>
      </c>
      <c r="F11" s="40"/>
      <c r="G11" s="28" t="s">
        <v>69</v>
      </c>
      <c r="H11" s="23">
        <v>4128908.21</v>
      </c>
      <c r="I11" s="28">
        <f>E11-H11</f>
        <v>20699764.689999998</v>
      </c>
      <c r="J11" s="23"/>
    </row>
    <row r="12" spans="1:10" s="22" customFormat="1" ht="16.5" customHeight="1">
      <c r="A12" s="42" t="s">
        <v>58</v>
      </c>
      <c r="B12" s="43"/>
      <c r="C12" s="44"/>
      <c r="D12" s="45" t="s">
        <v>19</v>
      </c>
      <c r="E12" s="40">
        <f>'ส.ค'!E12+5975+2064540.89-808516.37-1424715.87+21446</f>
        <v>-624612.7400000003</v>
      </c>
      <c r="F12" s="40"/>
      <c r="G12" s="28"/>
      <c r="H12" s="23"/>
      <c r="J12" s="23"/>
    </row>
    <row r="13" spans="1:10" s="22" customFormat="1" ht="16.5" customHeight="1">
      <c r="A13" s="42" t="s">
        <v>59</v>
      </c>
      <c r="B13" s="43"/>
      <c r="C13" s="44"/>
      <c r="D13" s="45" t="s">
        <v>19</v>
      </c>
      <c r="E13" s="40">
        <v>0</v>
      </c>
      <c r="F13" s="40"/>
      <c r="H13" s="23"/>
      <c r="I13" s="28"/>
      <c r="J13" s="23"/>
    </row>
    <row r="14" spans="1:10" s="22" customFormat="1" ht="16.5" customHeight="1">
      <c r="A14" s="42" t="s">
        <v>88</v>
      </c>
      <c r="B14" s="43"/>
      <c r="C14" s="44"/>
      <c r="D14" s="45"/>
      <c r="E14" s="40">
        <f>28750</f>
        <v>28750</v>
      </c>
      <c r="F14" s="40"/>
      <c r="H14" s="23"/>
      <c r="J14" s="23"/>
    </row>
    <row r="15" spans="1:10" s="22" customFormat="1" ht="16.5" customHeight="1">
      <c r="A15" s="42" t="s">
        <v>89</v>
      </c>
      <c r="B15" s="43"/>
      <c r="C15" s="44"/>
      <c r="D15" s="45"/>
      <c r="E15" s="40">
        <f>54463.17+9256</f>
        <v>63719.17</v>
      </c>
      <c r="F15" s="40"/>
      <c r="H15" s="23"/>
      <c r="J15" s="23"/>
    </row>
    <row r="16" spans="1:10" s="22" customFormat="1" ht="16.5" customHeight="1">
      <c r="A16" s="42" t="s">
        <v>60</v>
      </c>
      <c r="B16" s="43"/>
      <c r="C16" s="44"/>
      <c r="D16" s="45" t="s">
        <v>20</v>
      </c>
      <c r="E16" s="40">
        <f>'ส.ค'!E15</f>
        <v>63719.17</v>
      </c>
      <c r="F16" s="40"/>
      <c r="H16" s="23"/>
      <c r="J16" s="23"/>
    </row>
    <row r="17" spans="1:10" s="22" customFormat="1" ht="16.5" customHeight="1">
      <c r="A17" s="42" t="s">
        <v>94</v>
      </c>
      <c r="B17" s="43"/>
      <c r="C17" s="44"/>
      <c r="D17" s="45" t="s">
        <v>30</v>
      </c>
      <c r="E17" s="40">
        <v>24000</v>
      </c>
      <c r="F17" s="40"/>
      <c r="H17" s="23">
        <f>SUM(E5:E13)</f>
        <v>36830002.71</v>
      </c>
      <c r="J17" s="23"/>
    </row>
    <row r="18" spans="1:10" s="22" customFormat="1" ht="16.5" customHeight="1">
      <c r="A18" s="42" t="s">
        <v>80</v>
      </c>
      <c r="B18" s="43"/>
      <c r="C18" s="44"/>
      <c r="D18" s="45"/>
      <c r="E18" s="40">
        <f>'ส.ค'!E18</f>
        <v>24000</v>
      </c>
      <c r="F18" s="40"/>
      <c r="H18" s="23"/>
      <c r="J18" s="23"/>
    </row>
    <row r="19" spans="1:10" s="22" customFormat="1" ht="16.5" customHeight="1">
      <c r="A19" s="42" t="s">
        <v>93</v>
      </c>
      <c r="B19" s="43"/>
      <c r="C19" s="44"/>
      <c r="D19" s="45"/>
      <c r="E19" s="40">
        <v>24000</v>
      </c>
      <c r="F19" s="40"/>
      <c r="H19" s="23"/>
      <c r="J19" s="23"/>
    </row>
    <row r="20" spans="1:10" s="22" customFormat="1" ht="16.5" customHeight="1">
      <c r="A20" s="42" t="s">
        <v>36</v>
      </c>
      <c r="B20" s="43"/>
      <c r="C20" s="44"/>
      <c r="D20" s="45" t="s">
        <v>42</v>
      </c>
      <c r="E20" s="40">
        <f>'ส.ค'!E19</f>
        <v>0</v>
      </c>
      <c r="F20" s="40">
        <f>'ส.ค'!F19+2147117.64+24000</f>
        <v>36858800.160000004</v>
      </c>
      <c r="H20" s="23"/>
      <c r="J20" s="23"/>
    </row>
    <row r="21" spans="1:10" s="22" customFormat="1" ht="16.5" customHeight="1">
      <c r="A21" s="42" t="s">
        <v>62</v>
      </c>
      <c r="B21" s="43"/>
      <c r="C21" s="44"/>
      <c r="D21" s="45" t="s">
        <v>43</v>
      </c>
      <c r="E21" s="40">
        <f>'ส.ค'!E20</f>
        <v>0</v>
      </c>
      <c r="F21" s="54">
        <f>'ส.ค'!F20-27991.32-100000-31030.71+3098902.25</f>
        <v>3429269.17</v>
      </c>
      <c r="H21" s="23"/>
      <c r="J21" s="23"/>
    </row>
    <row r="22" spans="1:10" s="22" customFormat="1" ht="16.5" customHeight="1">
      <c r="A22" s="42" t="s">
        <v>37</v>
      </c>
      <c r="B22" s="43"/>
      <c r="C22" s="44"/>
      <c r="D22" s="45" t="s">
        <v>44</v>
      </c>
      <c r="E22" s="40">
        <f>'ส.ค'!E21</f>
        <v>0</v>
      </c>
      <c r="F22" s="40">
        <f>'ส.ค'!F21</f>
        <v>9000</v>
      </c>
      <c r="H22" s="23"/>
      <c r="J22" s="23"/>
    </row>
    <row r="23" spans="1:10" s="22" customFormat="1" ht="16.5" customHeight="1">
      <c r="A23" s="42" t="s">
        <v>15</v>
      </c>
      <c r="B23" s="43"/>
      <c r="C23" s="44"/>
      <c r="D23" s="45" t="s">
        <v>45</v>
      </c>
      <c r="E23" s="40">
        <f>'ส.ค'!E22</f>
        <v>0</v>
      </c>
      <c r="F23" s="40">
        <f>'ส.ค'!F22-64406.07+80900.1</f>
        <v>2823077.5900000003</v>
      </c>
      <c r="H23" s="23"/>
      <c r="J23" s="23"/>
    </row>
    <row r="24" spans="1:10" s="22" customFormat="1" ht="16.5" customHeight="1">
      <c r="A24" s="42" t="s">
        <v>90</v>
      </c>
      <c r="B24" s="43"/>
      <c r="C24" s="44"/>
      <c r="D24" s="45"/>
      <c r="E24" s="40">
        <f>'ส.ค'!E23</f>
        <v>0</v>
      </c>
      <c r="F24" s="40">
        <f>'ส.ค'!F23-6400+89095</f>
        <v>623605</v>
      </c>
      <c r="H24" s="23"/>
      <c r="J24" s="23"/>
    </row>
    <row r="25" spans="1:10" s="22" customFormat="1" ht="16.5" customHeight="1">
      <c r="A25" s="42" t="s">
        <v>95</v>
      </c>
      <c r="B25" s="43"/>
      <c r="C25" s="44"/>
      <c r="D25" s="45" t="s">
        <v>46</v>
      </c>
      <c r="E25" s="40">
        <f>'ส.ค'!E25</f>
        <v>0</v>
      </c>
      <c r="F25" s="40">
        <v>24000</v>
      </c>
      <c r="G25" s="22" t="s">
        <v>91</v>
      </c>
      <c r="H25" s="23"/>
      <c r="J25" s="23"/>
    </row>
    <row r="26" spans="1:10" s="22" customFormat="1" ht="16.5" customHeight="1">
      <c r="A26" s="42" t="s">
        <v>39</v>
      </c>
      <c r="B26" s="43"/>
      <c r="C26" s="44"/>
      <c r="D26" s="45" t="s">
        <v>29</v>
      </c>
      <c r="E26" s="40">
        <f>'ส.ค'!E26</f>
        <v>0</v>
      </c>
      <c r="F26" s="40">
        <f>'ส.ค'!F26-71800+31030.71</f>
        <v>10361737.850000001</v>
      </c>
      <c r="H26" s="23"/>
      <c r="J26" s="23"/>
    </row>
    <row r="27" spans="1:10" s="22" customFormat="1" ht="16.5" customHeight="1">
      <c r="A27" s="42" t="s">
        <v>40</v>
      </c>
      <c r="B27" s="43"/>
      <c r="C27" s="44"/>
      <c r="D27" s="45" t="s">
        <v>31</v>
      </c>
      <c r="E27" s="40" t="str">
        <f>'ส.ค'!E27</f>
        <v>-</v>
      </c>
      <c r="F27" s="40">
        <f>'ส.ค'!F27</f>
        <v>0</v>
      </c>
      <c r="H27" s="23"/>
      <c r="J27" s="23"/>
    </row>
    <row r="28" spans="1:10" s="22" customFormat="1" ht="16.5" customHeight="1">
      <c r="A28" s="42" t="s">
        <v>14</v>
      </c>
      <c r="B28" s="43"/>
      <c r="C28" s="44"/>
      <c r="D28" s="45" t="s">
        <v>47</v>
      </c>
      <c r="E28" s="40">
        <f>'ส.ค'!E28+28928+140000</f>
        <v>6223218</v>
      </c>
      <c r="F28" s="40">
        <f>'ส.ค'!F28</f>
        <v>0</v>
      </c>
      <c r="H28" s="23"/>
      <c r="J28" s="23"/>
    </row>
    <row r="29" spans="1:10" s="22" customFormat="1" ht="16.5" customHeight="1">
      <c r="A29" s="42" t="s">
        <v>70</v>
      </c>
      <c r="B29" s="43"/>
      <c r="C29" s="44"/>
      <c r="D29" s="45" t="s">
        <v>74</v>
      </c>
      <c r="E29" s="40">
        <f>'ส.ค'!E29+519670+24000</f>
        <v>3502888</v>
      </c>
      <c r="F29" s="40">
        <f>'ส.ค'!F29</f>
        <v>0</v>
      </c>
      <c r="H29" s="23"/>
      <c r="J29" s="23"/>
    </row>
    <row r="30" spans="1:10" s="22" customFormat="1" ht="16.5" customHeight="1">
      <c r="A30" s="42" t="s">
        <v>78</v>
      </c>
      <c r="B30" s="43"/>
      <c r="C30" s="44"/>
      <c r="D30" s="45" t="s">
        <v>48</v>
      </c>
      <c r="E30" s="40">
        <f>'ส.ค'!E30+214260</f>
        <v>5507878.07</v>
      </c>
      <c r="F30" s="40">
        <f>'ส.ค'!F30</f>
        <v>0</v>
      </c>
      <c r="H30" s="23"/>
      <c r="J30" s="23"/>
    </row>
    <row r="31" spans="1:10" s="22" customFormat="1" ht="16.5" customHeight="1">
      <c r="A31" s="42" t="s">
        <v>79</v>
      </c>
      <c r="B31" s="43"/>
      <c r="C31" s="44"/>
      <c r="D31" s="45" t="s">
        <v>21</v>
      </c>
      <c r="E31" s="40" t="e">
        <f>'ส.ค'!E31+549940</f>
        <v>#VALUE!</v>
      </c>
      <c r="F31" s="40">
        <f>'ส.ค'!F31</f>
        <v>0</v>
      </c>
      <c r="H31" s="23"/>
      <c r="J31" s="23"/>
    </row>
    <row r="32" spans="1:10" s="22" customFormat="1" ht="16.5" customHeight="1">
      <c r="A32" s="42" t="s">
        <v>71</v>
      </c>
      <c r="B32" s="43"/>
      <c r="C32" s="44"/>
      <c r="D32" s="45" t="s">
        <v>75</v>
      </c>
      <c r="E32" s="40">
        <f>'ส.ค'!E32+60010</f>
        <v>357786.25</v>
      </c>
      <c r="F32" s="40">
        <f>'ส.ค'!F32</f>
        <v>0</v>
      </c>
      <c r="H32" s="23"/>
      <c r="J32" s="23"/>
    </row>
    <row r="33" spans="1:10" s="22" customFormat="1" ht="16.5" customHeight="1">
      <c r="A33" s="42" t="s">
        <v>7</v>
      </c>
      <c r="B33" s="43"/>
      <c r="C33" s="44"/>
      <c r="D33" s="45" t="s">
        <v>22</v>
      </c>
      <c r="E33" s="40">
        <f>'ส.ค'!E33+32621.75+748620</f>
        <v>3001479.01</v>
      </c>
      <c r="F33" s="40">
        <f>'ส.ค'!F33</f>
        <v>0</v>
      </c>
      <c r="H33" s="23" t="e">
        <f>SUM(E28:E42)</f>
        <v>#VALUE!</v>
      </c>
      <c r="J33" s="23"/>
    </row>
    <row r="34" spans="1:10" s="22" customFormat="1" ht="16.5" customHeight="1">
      <c r="A34" s="42" t="s">
        <v>8</v>
      </c>
      <c r="B34" s="43"/>
      <c r="C34" s="44"/>
      <c r="D34" s="45" t="s">
        <v>23</v>
      </c>
      <c r="E34" s="40" t="e">
        <f>'ส.ค'!E34+439965.78+29400+74900</f>
        <v>#VALUE!</v>
      </c>
      <c r="F34" s="40">
        <f>'ส.ค'!F34</f>
        <v>0</v>
      </c>
      <c r="H34" s="23"/>
      <c r="J34" s="23"/>
    </row>
    <row r="35" spans="1:10" s="22" customFormat="1" ht="16.5" customHeight="1">
      <c r="A35" s="42" t="s">
        <v>72</v>
      </c>
      <c r="B35" s="43"/>
      <c r="C35" s="44"/>
      <c r="D35" s="45" t="s">
        <v>76</v>
      </c>
      <c r="E35" s="40">
        <f>'ส.ค'!E35</f>
        <v>1372460.72</v>
      </c>
      <c r="F35" s="40">
        <f>'ส.ค'!F35</f>
        <v>0</v>
      </c>
      <c r="H35" s="23"/>
      <c r="J35" s="23"/>
    </row>
    <row r="36" spans="1:10" s="22" customFormat="1" ht="16.5" customHeight="1">
      <c r="A36" s="42" t="s">
        <v>9</v>
      </c>
      <c r="B36" s="43"/>
      <c r="C36" s="44"/>
      <c r="D36" s="45" t="s">
        <v>24</v>
      </c>
      <c r="E36" s="40" t="e">
        <f>'ส.ค'!E36+558962.33-27991.32+24282.25</f>
        <v>#VALUE!</v>
      </c>
      <c r="F36" s="40">
        <f>'ส.ค'!F36</f>
        <v>0</v>
      </c>
      <c r="H36" s="23"/>
      <c r="J36" s="23"/>
    </row>
    <row r="37" spans="1:10" s="22" customFormat="1" ht="16.5" customHeight="1">
      <c r="A37" s="42" t="s">
        <v>73</v>
      </c>
      <c r="B37" s="43"/>
      <c r="C37" s="44"/>
      <c r="D37" s="45" t="s">
        <v>77</v>
      </c>
      <c r="E37" s="40">
        <v>127500</v>
      </c>
      <c r="F37" s="40">
        <f>'ส.ค'!F37</f>
        <v>0</v>
      </c>
      <c r="H37" s="23"/>
      <c r="J37" s="23"/>
    </row>
    <row r="38" spans="1:10" s="22" customFormat="1" ht="16.5" customHeight="1">
      <c r="A38" s="42" t="s">
        <v>10</v>
      </c>
      <c r="B38" s="43"/>
      <c r="C38" s="44"/>
      <c r="D38" s="45" t="s">
        <v>25</v>
      </c>
      <c r="E38" s="40">
        <f>'ส.ค'!E38+69945.5+2503.8</f>
        <v>354590.17</v>
      </c>
      <c r="F38" s="40">
        <f>'ส.ค'!F38</f>
        <v>0</v>
      </c>
      <c r="H38" s="23"/>
      <c r="J38" s="23"/>
    </row>
    <row r="39" spans="1:10" s="22" customFormat="1" ht="16.5" customHeight="1">
      <c r="A39" s="42" t="s">
        <v>12</v>
      </c>
      <c r="B39" s="43"/>
      <c r="C39" s="44"/>
      <c r="D39" s="45" t="s">
        <v>27</v>
      </c>
      <c r="E39" s="40">
        <f>'ส.ค'!E39+887690-2503.8</f>
        <v>1959186.2</v>
      </c>
      <c r="F39" s="40">
        <f>'ส.ค'!F39</f>
        <v>0</v>
      </c>
      <c r="H39" s="23"/>
      <c r="J39" s="23"/>
    </row>
    <row r="40" spans="1:10" s="22" customFormat="1" ht="16.5" customHeight="1">
      <c r="A40" s="42" t="s">
        <v>13</v>
      </c>
      <c r="B40" s="43"/>
      <c r="C40" s="44"/>
      <c r="D40" s="45" t="s">
        <v>28</v>
      </c>
      <c r="E40" s="40">
        <f>'ส.ค'!E40+704800+2111100</f>
        <v>2908900</v>
      </c>
      <c r="F40" s="40">
        <f>'ส.ค'!F40</f>
        <v>0</v>
      </c>
      <c r="H40" s="23"/>
      <c r="J40" s="23"/>
    </row>
    <row r="41" spans="1:10" s="22" customFormat="1" ht="16.5" customHeight="1">
      <c r="A41" s="42" t="s">
        <v>84</v>
      </c>
      <c r="B41" s="43"/>
      <c r="C41" s="44"/>
      <c r="D41" s="45" t="s">
        <v>85</v>
      </c>
      <c r="E41" s="40">
        <f>'ส.ค'!E41</f>
        <v>2439600</v>
      </c>
      <c r="F41" s="40"/>
      <c r="H41" s="23"/>
      <c r="J41" s="23"/>
    </row>
    <row r="42" spans="1:10" s="22" customFormat="1" ht="16.5" customHeight="1">
      <c r="A42" s="42" t="s">
        <v>11</v>
      </c>
      <c r="B42" s="43"/>
      <c r="C42" s="44"/>
      <c r="D42" s="45" t="s">
        <v>26</v>
      </c>
      <c r="E42" s="40">
        <f>'ส.ค'!E42+520518.7-106.09</f>
        <v>1526612.43</v>
      </c>
      <c r="F42" s="40">
        <f>'ส.ค'!F41</f>
        <v>0</v>
      </c>
      <c r="H42" s="23"/>
      <c r="J42" s="23"/>
    </row>
    <row r="43" spans="1:10" s="22" customFormat="1" ht="16.5" customHeight="1" thickBot="1">
      <c r="A43" s="146" t="s">
        <v>16</v>
      </c>
      <c r="B43" s="147"/>
      <c r="C43" s="148"/>
      <c r="D43" s="46"/>
      <c r="E43" s="47" t="e">
        <f>SUM(E5:E42)</f>
        <v>#VALUE!</v>
      </c>
      <c r="F43" s="47">
        <f>SUM(F5:F42)</f>
        <v>54129489.77000001</v>
      </c>
      <c r="G43" s="28" t="e">
        <f>E43-F43</f>
        <v>#VALUE!</v>
      </c>
      <c r="H43" s="23"/>
      <c r="J43" s="23"/>
    </row>
    <row r="44" spans="1:16" s="7" customFormat="1" ht="27" customHeight="1" thickTop="1">
      <c r="A44" s="48"/>
      <c r="B44" s="48"/>
      <c r="C44" s="48"/>
      <c r="D44" s="49"/>
      <c r="E44" s="50"/>
      <c r="F44" s="50"/>
      <c r="G44" s="10"/>
      <c r="H44" s="6"/>
      <c r="I44" s="4"/>
      <c r="J44" s="6"/>
      <c r="K44" s="4"/>
      <c r="L44" s="4"/>
      <c r="M44" s="4"/>
      <c r="N44" s="4"/>
      <c r="O44" s="4"/>
      <c r="P44" s="4"/>
    </row>
    <row r="45" spans="1:16" s="7" customFormat="1" ht="21" customHeight="1">
      <c r="A45" s="51" t="s">
        <v>33</v>
      </c>
      <c r="B45" s="51"/>
      <c r="C45" s="51" t="s">
        <v>34</v>
      </c>
      <c r="D45" s="51"/>
      <c r="E45" s="51" t="s">
        <v>35</v>
      </c>
      <c r="F45" s="51"/>
      <c r="G45" s="4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18" customHeight="1">
      <c r="A46" s="113" t="s">
        <v>64</v>
      </c>
      <c r="B46" s="113"/>
      <c r="C46" s="113" t="s">
        <v>65</v>
      </c>
      <c r="D46" s="113"/>
      <c r="E46" s="115" t="s">
        <v>66</v>
      </c>
      <c r="F46" s="115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13" t="s">
        <v>32</v>
      </c>
      <c r="B47" s="113"/>
      <c r="C47" s="113" t="s">
        <v>68</v>
      </c>
      <c r="D47" s="113"/>
      <c r="E47" s="114" t="s">
        <v>67</v>
      </c>
      <c r="F47" s="114"/>
      <c r="G47" s="4"/>
      <c r="H47" s="6"/>
      <c r="I47" s="4"/>
      <c r="J47" s="6"/>
      <c r="K47" s="4"/>
      <c r="L47" s="4"/>
      <c r="M47" s="4"/>
      <c r="N47" s="4"/>
      <c r="O47" s="4"/>
      <c r="P47" s="4"/>
    </row>
    <row r="48" spans="1:16" s="7" customFormat="1" ht="19.5" customHeight="1">
      <c r="A48" s="134" t="s">
        <v>51</v>
      </c>
      <c r="B48" s="134"/>
      <c r="C48" s="134"/>
      <c r="D48" s="134"/>
      <c r="E48" s="134"/>
      <c r="F48" s="134"/>
      <c r="G48" s="4"/>
      <c r="H48" s="5" t="s">
        <v>0</v>
      </c>
      <c r="I48" s="4"/>
      <c r="J48" s="6"/>
      <c r="K48" s="4"/>
      <c r="L48" s="4"/>
      <c r="M48" s="4"/>
      <c r="N48" s="4"/>
      <c r="O48" s="4"/>
      <c r="P48" s="4"/>
    </row>
    <row r="49" spans="1:16" s="7" customFormat="1" ht="19.5" customHeight="1">
      <c r="A49" s="134" t="s">
        <v>82</v>
      </c>
      <c r="B49" s="134"/>
      <c r="C49" s="134"/>
      <c r="D49" s="134"/>
      <c r="E49" s="134"/>
      <c r="F49" s="134"/>
      <c r="G49" s="4"/>
      <c r="H49" s="6"/>
      <c r="I49" s="4"/>
      <c r="J49" s="6"/>
      <c r="K49" s="4"/>
      <c r="L49" s="4"/>
      <c r="M49" s="4"/>
      <c r="N49" s="4"/>
      <c r="O49" s="4"/>
      <c r="P49" s="4"/>
    </row>
    <row r="50" spans="1:16" s="7" customFormat="1" ht="19.5" customHeight="1">
      <c r="A50" s="135" t="s">
        <v>92</v>
      </c>
      <c r="B50" s="135"/>
      <c r="C50" s="135"/>
      <c r="D50" s="135"/>
      <c r="E50" s="135"/>
      <c r="F50" s="135"/>
      <c r="G50" s="4"/>
      <c r="H50" s="6"/>
      <c r="I50" s="4"/>
      <c r="J50" s="6"/>
      <c r="K50" s="4"/>
      <c r="L50" s="4"/>
      <c r="M50" s="4"/>
      <c r="N50" s="4"/>
      <c r="O50" s="4"/>
      <c r="P50" s="4"/>
    </row>
    <row r="51" spans="1:16" s="7" customFormat="1" ht="16.5" customHeight="1">
      <c r="A51" s="143" t="s">
        <v>1</v>
      </c>
      <c r="B51" s="144"/>
      <c r="C51" s="145"/>
      <c r="D51" s="32" t="s">
        <v>2</v>
      </c>
      <c r="E51" s="33" t="s">
        <v>3</v>
      </c>
      <c r="F51" s="33" t="s">
        <v>4</v>
      </c>
      <c r="G51" s="4"/>
      <c r="H51" s="6"/>
      <c r="I51" s="4"/>
      <c r="J51" s="6"/>
      <c r="K51" s="4"/>
      <c r="L51" s="4"/>
      <c r="M51" s="4"/>
      <c r="N51" s="4"/>
      <c r="O51" s="4"/>
      <c r="P51" s="4"/>
    </row>
    <row r="52" spans="1:10" s="22" customFormat="1" ht="16.5" customHeight="1">
      <c r="A52" s="16" t="s">
        <v>5</v>
      </c>
      <c r="B52" s="17"/>
      <c r="C52" s="18"/>
      <c r="D52" s="19" t="s">
        <v>17</v>
      </c>
      <c r="E52" s="20">
        <f>'ส.ค'!E52</f>
        <v>0</v>
      </c>
      <c r="F52" s="21"/>
      <c r="H52" s="23"/>
      <c r="J52" s="23"/>
    </row>
    <row r="53" spans="1:10" s="22" customFormat="1" ht="16.5" customHeight="1">
      <c r="A53" s="24" t="s">
        <v>52</v>
      </c>
      <c r="B53" s="25"/>
      <c r="C53" s="26"/>
      <c r="D53" s="27" t="s">
        <v>18</v>
      </c>
      <c r="E53" s="20">
        <f>E6</f>
        <v>11374593.940000001</v>
      </c>
      <c r="F53" s="20"/>
      <c r="H53" s="23"/>
      <c r="J53" s="23"/>
    </row>
    <row r="54" spans="1:10" s="22" customFormat="1" ht="16.5" customHeight="1">
      <c r="A54" s="24" t="s">
        <v>53</v>
      </c>
      <c r="B54" s="25"/>
      <c r="C54" s="26"/>
      <c r="D54" s="27" t="s">
        <v>18</v>
      </c>
      <c r="E54" s="20">
        <f aca="true" t="shared" si="0" ref="E54:E66">E7</f>
        <v>128319.31</v>
      </c>
      <c r="F54" s="20"/>
      <c r="H54" s="23"/>
      <c r="J54" s="23"/>
    </row>
    <row r="55" spans="1:10" s="22" customFormat="1" ht="16.5" customHeight="1">
      <c r="A55" s="24" t="s">
        <v>54</v>
      </c>
      <c r="B55" s="25"/>
      <c r="C55" s="26"/>
      <c r="D55" s="27" t="s">
        <v>18</v>
      </c>
      <c r="E55" s="20">
        <f t="shared" si="0"/>
        <v>1096555.48</v>
      </c>
      <c r="F55" s="20"/>
      <c r="H55" s="23"/>
      <c r="J55" s="23"/>
    </row>
    <row r="56" spans="1:10" s="22" customFormat="1" ht="16.5" customHeight="1">
      <c r="A56" s="24" t="s">
        <v>55</v>
      </c>
      <c r="B56" s="25"/>
      <c r="C56" s="26"/>
      <c r="D56" s="27" t="s">
        <v>18</v>
      </c>
      <c r="E56" s="20">
        <f t="shared" si="0"/>
        <v>13919.33</v>
      </c>
      <c r="F56" s="20"/>
      <c r="H56" s="23">
        <f>E58+E59</f>
        <v>24204060.159999996</v>
      </c>
      <c r="J56" s="23"/>
    </row>
    <row r="57" spans="1:10" s="22" customFormat="1" ht="16.5" customHeight="1">
      <c r="A57" s="24" t="s">
        <v>56</v>
      </c>
      <c r="B57" s="25"/>
      <c r="C57" s="26"/>
      <c r="D57" s="27" t="s">
        <v>18</v>
      </c>
      <c r="E57" s="20">
        <f t="shared" si="0"/>
        <v>12554.49</v>
      </c>
      <c r="F57" s="20"/>
      <c r="G57" s="28">
        <f>SUM(E52:E60)</f>
        <v>36830002.71</v>
      </c>
      <c r="H57" s="23"/>
      <c r="I57" s="28"/>
      <c r="J57" s="23"/>
    </row>
    <row r="58" spans="1:10" s="22" customFormat="1" ht="16.5" customHeight="1">
      <c r="A58" s="24" t="s">
        <v>57</v>
      </c>
      <c r="B58" s="25"/>
      <c r="C58" s="26"/>
      <c r="D58" s="27" t="s">
        <v>18</v>
      </c>
      <c r="E58" s="20">
        <f t="shared" si="0"/>
        <v>24828672.9</v>
      </c>
      <c r="F58" s="20"/>
      <c r="G58" s="28" t="s">
        <v>69</v>
      </c>
      <c r="H58" s="23">
        <v>4128908.21</v>
      </c>
      <c r="I58" s="28">
        <f>E58-H58</f>
        <v>20699764.689999998</v>
      </c>
      <c r="J58" s="23"/>
    </row>
    <row r="59" spans="1:10" s="22" customFormat="1" ht="16.5" customHeight="1">
      <c r="A59" s="24" t="s">
        <v>58</v>
      </c>
      <c r="B59" s="25"/>
      <c r="C59" s="26"/>
      <c r="D59" s="27" t="s">
        <v>19</v>
      </c>
      <c r="E59" s="20">
        <f t="shared" si="0"/>
        <v>-624612.7400000003</v>
      </c>
      <c r="F59" s="20"/>
      <c r="G59" s="28"/>
      <c r="H59" s="23"/>
      <c r="J59" s="23"/>
    </row>
    <row r="60" spans="1:10" s="22" customFormat="1" ht="16.5" customHeight="1">
      <c r="A60" s="24" t="s">
        <v>59</v>
      </c>
      <c r="B60" s="25"/>
      <c r="C60" s="26"/>
      <c r="D60" s="27" t="s">
        <v>19</v>
      </c>
      <c r="E60" s="20">
        <f t="shared" si="0"/>
        <v>0</v>
      </c>
      <c r="F60" s="20"/>
      <c r="H60" s="23"/>
      <c r="I60" s="28"/>
      <c r="J60" s="23"/>
    </row>
    <row r="61" spans="1:10" s="22" customFormat="1" ht="16.5" customHeight="1">
      <c r="A61" s="24" t="s">
        <v>88</v>
      </c>
      <c r="B61" s="25"/>
      <c r="C61" s="26"/>
      <c r="D61" s="27"/>
      <c r="E61" s="20">
        <f t="shared" si="0"/>
        <v>28750</v>
      </c>
      <c r="F61" s="20"/>
      <c r="H61" s="23"/>
      <c r="J61" s="23"/>
    </row>
    <row r="62" spans="1:10" s="22" customFormat="1" ht="16.5" customHeight="1">
      <c r="A62" s="24" t="s">
        <v>89</v>
      </c>
      <c r="B62" s="25"/>
      <c r="C62" s="26"/>
      <c r="D62" s="27"/>
      <c r="E62" s="20">
        <f t="shared" si="0"/>
        <v>63719.17</v>
      </c>
      <c r="F62" s="20"/>
      <c r="H62" s="23"/>
      <c r="J62" s="23"/>
    </row>
    <row r="63" spans="1:10" s="22" customFormat="1" ht="16.5" customHeight="1">
      <c r="A63" s="24" t="s">
        <v>60</v>
      </c>
      <c r="B63" s="25"/>
      <c r="C63" s="26"/>
      <c r="D63" s="27" t="s">
        <v>20</v>
      </c>
      <c r="E63" s="20">
        <f t="shared" si="0"/>
        <v>63719.17</v>
      </c>
      <c r="F63" s="20"/>
      <c r="H63" s="23"/>
      <c r="J63" s="23"/>
    </row>
    <row r="64" spans="1:10" s="22" customFormat="1" ht="16.5" customHeight="1">
      <c r="A64" s="24" t="s">
        <v>94</v>
      </c>
      <c r="B64" s="25"/>
      <c r="C64" s="26"/>
      <c r="D64" s="27" t="s">
        <v>30</v>
      </c>
      <c r="E64" s="20">
        <f t="shared" si="0"/>
        <v>24000</v>
      </c>
      <c r="F64" s="20"/>
      <c r="H64" s="23">
        <f>SUM(E52:E60)</f>
        <v>36830002.71</v>
      </c>
      <c r="J64" s="23"/>
    </row>
    <row r="65" spans="1:10" s="22" customFormat="1" ht="16.5" customHeight="1">
      <c r="A65" s="24" t="s">
        <v>80</v>
      </c>
      <c r="B65" s="25"/>
      <c r="C65" s="26"/>
      <c r="D65" s="27"/>
      <c r="E65" s="20">
        <f t="shared" si="0"/>
        <v>24000</v>
      </c>
      <c r="F65" s="20"/>
      <c r="H65" s="23"/>
      <c r="J65" s="23"/>
    </row>
    <row r="66" spans="1:10" s="22" customFormat="1" ht="16.5" customHeight="1">
      <c r="A66" s="24" t="s">
        <v>93</v>
      </c>
      <c r="B66" s="25"/>
      <c r="C66" s="26"/>
      <c r="D66" s="27"/>
      <c r="E66" s="20">
        <f t="shared" si="0"/>
        <v>24000</v>
      </c>
      <c r="F66" s="20"/>
      <c r="H66" s="23"/>
      <c r="J66" s="23"/>
    </row>
    <row r="67" spans="1:10" s="22" customFormat="1" ht="16.5" customHeight="1">
      <c r="A67" s="24" t="s">
        <v>36</v>
      </c>
      <c r="B67" s="25"/>
      <c r="C67" s="26"/>
      <c r="D67" s="27" t="s">
        <v>42</v>
      </c>
      <c r="E67" s="20">
        <f>'ส.ค'!E66</f>
        <v>0</v>
      </c>
      <c r="F67" s="20">
        <f>F20-38526451.34</f>
        <v>-1667651.1799999997</v>
      </c>
      <c r="H67" s="23"/>
      <c r="J67" s="23"/>
    </row>
    <row r="68" spans="1:10" s="22" customFormat="1" ht="16.5" customHeight="1">
      <c r="A68" s="24" t="s">
        <v>62</v>
      </c>
      <c r="B68" s="25"/>
      <c r="C68" s="26"/>
      <c r="D68" s="27" t="s">
        <v>43</v>
      </c>
      <c r="E68" s="20">
        <f>'ส.ค'!E67</f>
        <v>0</v>
      </c>
      <c r="F68" s="20">
        <f>F21</f>
        <v>3429269.17</v>
      </c>
      <c r="H68" s="23"/>
      <c r="J68" s="23"/>
    </row>
    <row r="69" spans="1:10" s="22" customFormat="1" ht="16.5" customHeight="1">
      <c r="A69" s="24" t="s">
        <v>37</v>
      </c>
      <c r="B69" s="25"/>
      <c r="C69" s="26"/>
      <c r="D69" s="27" t="s">
        <v>44</v>
      </c>
      <c r="E69" s="20">
        <f>'ส.ค'!E68</f>
        <v>0</v>
      </c>
      <c r="F69" s="20">
        <f>F22</f>
        <v>9000</v>
      </c>
      <c r="H69" s="23"/>
      <c r="J69" s="23"/>
    </row>
    <row r="70" spans="1:10" s="22" customFormat="1" ht="16.5" customHeight="1">
      <c r="A70" s="24" t="s">
        <v>15</v>
      </c>
      <c r="B70" s="25"/>
      <c r="C70" s="26"/>
      <c r="D70" s="27" t="s">
        <v>45</v>
      </c>
      <c r="E70" s="20">
        <f>'ส.ค'!E69</f>
        <v>0</v>
      </c>
      <c r="F70" s="20">
        <f>F23</f>
        <v>2823077.5900000003</v>
      </c>
      <c r="H70" s="23"/>
      <c r="J70" s="23"/>
    </row>
    <row r="71" spans="1:10" s="22" customFormat="1" ht="16.5" customHeight="1">
      <c r="A71" s="24" t="s">
        <v>90</v>
      </c>
      <c r="B71" s="25"/>
      <c r="C71" s="26"/>
      <c r="D71" s="27"/>
      <c r="E71" s="20">
        <f>'ส.ค'!E70</f>
        <v>0</v>
      </c>
      <c r="F71" s="20">
        <f>F24</f>
        <v>623605</v>
      </c>
      <c r="H71" s="23"/>
      <c r="J71" s="23"/>
    </row>
    <row r="72" spans="1:10" s="22" customFormat="1" ht="16.5" customHeight="1">
      <c r="A72" s="24" t="s">
        <v>95</v>
      </c>
      <c r="B72" s="25"/>
      <c r="C72" s="26"/>
      <c r="D72" s="27" t="s">
        <v>46</v>
      </c>
      <c r="E72" s="20">
        <f>'ส.ค'!E72</f>
        <v>0</v>
      </c>
      <c r="F72" s="20">
        <f>F25</f>
        <v>24000</v>
      </c>
      <c r="G72" s="22" t="s">
        <v>91</v>
      </c>
      <c r="H72" s="23"/>
      <c r="J72" s="23"/>
    </row>
    <row r="73" spans="1:10" s="22" customFormat="1" ht="16.5" customHeight="1">
      <c r="A73" s="24" t="s">
        <v>39</v>
      </c>
      <c r="B73" s="25"/>
      <c r="C73" s="26"/>
      <c r="D73" s="27" t="s">
        <v>29</v>
      </c>
      <c r="E73" s="20">
        <f>'ส.ค'!E73</f>
        <v>0</v>
      </c>
      <c r="F73" s="20">
        <f>F26+2316696.74</f>
        <v>12678434.590000002</v>
      </c>
      <c r="H73" s="23"/>
      <c r="J73" s="23"/>
    </row>
    <row r="74" spans="1:10" s="22" customFormat="1" ht="16.5" customHeight="1">
      <c r="A74" s="24" t="s">
        <v>40</v>
      </c>
      <c r="B74" s="25"/>
      <c r="C74" s="26"/>
      <c r="D74" s="27" t="s">
        <v>31</v>
      </c>
      <c r="E74" s="20">
        <f>'ส.ค'!E74</f>
        <v>0</v>
      </c>
      <c r="F74" s="20">
        <f>F27+772232.24</f>
        <v>772232.24</v>
      </c>
      <c r="H74" s="23"/>
      <c r="J74" s="23"/>
    </row>
    <row r="75" spans="1:10" s="22" customFormat="1" ht="16.5" customHeight="1">
      <c r="A75" s="24" t="s">
        <v>14</v>
      </c>
      <c r="B75" s="25"/>
      <c r="C75" s="26"/>
      <c r="D75" s="27" t="s">
        <v>47</v>
      </c>
      <c r="E75" s="20"/>
      <c r="F75" s="20">
        <f>'ส.ค'!F75</f>
        <v>0</v>
      </c>
      <c r="H75" s="23"/>
      <c r="J75" s="23"/>
    </row>
    <row r="76" spans="1:10" s="22" customFormat="1" ht="16.5" customHeight="1">
      <c r="A76" s="24" t="s">
        <v>70</v>
      </c>
      <c r="B76" s="25"/>
      <c r="C76" s="26"/>
      <c r="D76" s="27" t="s">
        <v>74</v>
      </c>
      <c r="E76" s="20"/>
      <c r="F76" s="20">
        <f>'ส.ค'!F76</f>
        <v>0</v>
      </c>
      <c r="H76" s="23"/>
      <c r="J76" s="23"/>
    </row>
    <row r="77" spans="1:10" s="22" customFormat="1" ht="16.5" customHeight="1">
      <c r="A77" s="24" t="s">
        <v>78</v>
      </c>
      <c r="B77" s="25"/>
      <c r="C77" s="26"/>
      <c r="D77" s="27" t="s">
        <v>48</v>
      </c>
      <c r="E77" s="20"/>
      <c r="F77" s="20">
        <f>'ส.ค'!F77</f>
        <v>0</v>
      </c>
      <c r="H77" s="23"/>
      <c r="J77" s="23"/>
    </row>
    <row r="78" spans="1:10" s="22" customFormat="1" ht="16.5" customHeight="1">
      <c r="A78" s="24" t="s">
        <v>79</v>
      </c>
      <c r="B78" s="25"/>
      <c r="C78" s="26"/>
      <c r="D78" s="27" t="s">
        <v>21</v>
      </c>
      <c r="E78" s="20"/>
      <c r="F78" s="20">
        <f>'ส.ค'!F78</f>
        <v>0</v>
      </c>
      <c r="H78" s="23"/>
      <c r="J78" s="23"/>
    </row>
    <row r="79" spans="1:10" s="22" customFormat="1" ht="16.5" customHeight="1">
      <c r="A79" s="24" t="s">
        <v>71</v>
      </c>
      <c r="B79" s="25"/>
      <c r="C79" s="26"/>
      <c r="D79" s="27" t="s">
        <v>75</v>
      </c>
      <c r="E79" s="20"/>
      <c r="F79" s="20">
        <f>'ส.ค'!F79</f>
        <v>0</v>
      </c>
      <c r="H79" s="23"/>
      <c r="J79" s="23"/>
    </row>
    <row r="80" spans="1:10" s="22" customFormat="1" ht="16.5" customHeight="1">
      <c r="A80" s="24" t="s">
        <v>7</v>
      </c>
      <c r="B80" s="25"/>
      <c r="C80" s="26"/>
      <c r="D80" s="27" t="s">
        <v>22</v>
      </c>
      <c r="E80" s="20"/>
      <c r="F80" s="20">
        <f>'ส.ค'!F80</f>
        <v>0</v>
      </c>
      <c r="H80" s="23">
        <f>SUM(E75:E89)</f>
        <v>0</v>
      </c>
      <c r="J80" s="23"/>
    </row>
    <row r="81" spans="1:10" s="22" customFormat="1" ht="16.5" customHeight="1">
      <c r="A81" s="24" t="s">
        <v>8</v>
      </c>
      <c r="B81" s="25"/>
      <c r="C81" s="26"/>
      <c r="D81" s="27" t="s">
        <v>23</v>
      </c>
      <c r="E81" s="20"/>
      <c r="F81" s="20">
        <f>'ส.ค'!F81</f>
        <v>0</v>
      </c>
      <c r="H81" s="23"/>
      <c r="J81" s="23"/>
    </row>
    <row r="82" spans="1:10" s="22" customFormat="1" ht="16.5" customHeight="1">
      <c r="A82" s="24" t="s">
        <v>72</v>
      </c>
      <c r="B82" s="25"/>
      <c r="C82" s="26"/>
      <c r="D82" s="27" t="s">
        <v>76</v>
      </c>
      <c r="E82" s="20"/>
      <c r="F82" s="20">
        <f>'ส.ค'!F82</f>
        <v>0</v>
      </c>
      <c r="H82" s="23"/>
      <c r="J82" s="23"/>
    </row>
    <row r="83" spans="1:10" s="22" customFormat="1" ht="16.5" customHeight="1">
      <c r="A83" s="24" t="s">
        <v>9</v>
      </c>
      <c r="B83" s="25"/>
      <c r="C83" s="26"/>
      <c r="D83" s="27" t="s">
        <v>24</v>
      </c>
      <c r="E83" s="20"/>
      <c r="F83" s="20">
        <f>'ส.ค'!F83</f>
        <v>0</v>
      </c>
      <c r="H83" s="23"/>
      <c r="J83" s="23"/>
    </row>
    <row r="84" spans="1:10" s="22" customFormat="1" ht="16.5" customHeight="1">
      <c r="A84" s="24" t="s">
        <v>73</v>
      </c>
      <c r="B84" s="25"/>
      <c r="C84" s="26"/>
      <c r="D84" s="27" t="s">
        <v>77</v>
      </c>
      <c r="E84" s="20"/>
      <c r="F84" s="20">
        <f>'ส.ค'!F84</f>
        <v>0</v>
      </c>
      <c r="H84" s="23"/>
      <c r="J84" s="23"/>
    </row>
    <row r="85" spans="1:10" s="22" customFormat="1" ht="16.5" customHeight="1">
      <c r="A85" s="24" t="s">
        <v>10</v>
      </c>
      <c r="B85" s="25"/>
      <c r="C85" s="26"/>
      <c r="D85" s="27" t="s">
        <v>25</v>
      </c>
      <c r="E85" s="20"/>
      <c r="F85" s="20">
        <f>'ส.ค'!F85</f>
        <v>0</v>
      </c>
      <c r="H85" s="23"/>
      <c r="J85" s="23"/>
    </row>
    <row r="86" spans="1:10" s="22" customFormat="1" ht="16.5" customHeight="1">
      <c r="A86" s="24" t="s">
        <v>12</v>
      </c>
      <c r="B86" s="25"/>
      <c r="C86" s="26"/>
      <c r="D86" s="27" t="s">
        <v>27</v>
      </c>
      <c r="E86" s="20"/>
      <c r="F86" s="20">
        <f>'ส.ค'!F86</f>
        <v>0</v>
      </c>
      <c r="H86" s="23"/>
      <c r="J86" s="23"/>
    </row>
    <row r="87" spans="1:10" s="22" customFormat="1" ht="16.5" customHeight="1">
      <c r="A87" s="24" t="s">
        <v>13</v>
      </c>
      <c r="B87" s="25"/>
      <c r="C87" s="26"/>
      <c r="D87" s="27" t="s">
        <v>28</v>
      </c>
      <c r="E87" s="20"/>
      <c r="F87" s="20">
        <f>'ส.ค'!F87</f>
        <v>0</v>
      </c>
      <c r="H87" s="23"/>
      <c r="J87" s="23"/>
    </row>
    <row r="88" spans="1:10" s="22" customFormat="1" ht="16.5" customHeight="1">
      <c r="A88" s="24" t="s">
        <v>84</v>
      </c>
      <c r="B88" s="25"/>
      <c r="C88" s="26"/>
      <c r="D88" s="27" t="s">
        <v>85</v>
      </c>
      <c r="E88" s="20"/>
      <c r="F88" s="20"/>
      <c r="H88" s="23"/>
      <c r="J88" s="23"/>
    </row>
    <row r="89" spans="1:10" s="22" customFormat="1" ht="16.5" customHeight="1">
      <c r="A89" s="24" t="s">
        <v>11</v>
      </c>
      <c r="B89" s="25"/>
      <c r="C89" s="26"/>
      <c r="D89" s="27" t="s">
        <v>26</v>
      </c>
      <c r="E89" s="20"/>
      <c r="F89" s="20">
        <f>'ส.ค'!F88</f>
        <v>0</v>
      </c>
      <c r="H89" s="23"/>
      <c r="J89" s="23"/>
    </row>
    <row r="90" spans="1:10" s="22" customFormat="1" ht="16.5" customHeight="1" thickBot="1">
      <c r="A90" s="139" t="s">
        <v>16</v>
      </c>
      <c r="B90" s="140"/>
      <c r="C90" s="141"/>
      <c r="D90" s="29"/>
      <c r="E90" s="30">
        <f>SUM(E52:E89)</f>
        <v>37058191.050000004</v>
      </c>
      <c r="F90" s="30">
        <f>SUM(F52:F89)</f>
        <v>18691967.41</v>
      </c>
      <c r="G90" s="28">
        <f>E90-F90</f>
        <v>18366223.640000004</v>
      </c>
      <c r="H90" s="23"/>
      <c r="J90" s="23"/>
    </row>
    <row r="91" spans="1:16" s="7" customFormat="1" ht="27" customHeight="1" thickTop="1">
      <c r="A91" s="14"/>
      <c r="B91" s="14"/>
      <c r="C91" s="14"/>
      <c r="D91" s="15"/>
      <c r="E91" s="11"/>
      <c r="F91" s="11"/>
      <c r="G91" s="10"/>
      <c r="H91" s="6"/>
      <c r="I91" s="4"/>
      <c r="J91" s="6"/>
      <c r="K91" s="4"/>
      <c r="L91" s="4"/>
      <c r="M91" s="4"/>
      <c r="N91" s="4"/>
      <c r="O91" s="4"/>
      <c r="P91" s="4"/>
    </row>
    <row r="92" spans="1:16" s="7" customFormat="1" ht="21" customHeight="1">
      <c r="A92" s="31" t="s">
        <v>33</v>
      </c>
      <c r="B92" s="31"/>
      <c r="C92" s="31" t="s">
        <v>34</v>
      </c>
      <c r="D92" s="31"/>
      <c r="E92" s="31" t="s">
        <v>35</v>
      </c>
      <c r="F92" s="31"/>
      <c r="G92" s="4"/>
      <c r="H92" s="6"/>
      <c r="I92" s="4"/>
      <c r="J92" s="6"/>
      <c r="K92" s="4"/>
      <c r="L92" s="4"/>
      <c r="M92" s="4"/>
      <c r="N92" s="4"/>
      <c r="O92" s="4"/>
      <c r="P92" s="4"/>
    </row>
    <row r="93" spans="1:16" s="7" customFormat="1" ht="18" customHeight="1">
      <c r="A93" s="132" t="s">
        <v>64</v>
      </c>
      <c r="B93" s="132"/>
      <c r="C93" s="132" t="s">
        <v>65</v>
      </c>
      <c r="D93" s="132"/>
      <c r="E93" s="142" t="s">
        <v>66</v>
      </c>
      <c r="F93" s="142"/>
      <c r="G93" s="4"/>
      <c r="H93" s="6"/>
      <c r="I93" s="4"/>
      <c r="J93" s="6"/>
      <c r="K93" s="4"/>
      <c r="L93" s="4"/>
      <c r="M93" s="4"/>
      <c r="N93" s="4"/>
      <c r="O93" s="4"/>
      <c r="P93" s="4"/>
    </row>
    <row r="94" spans="1:16" s="7" customFormat="1" ht="18" customHeight="1">
      <c r="A94" s="132" t="s">
        <v>32</v>
      </c>
      <c r="B94" s="132"/>
      <c r="C94" s="132" t="s">
        <v>68</v>
      </c>
      <c r="D94" s="132"/>
      <c r="E94" s="133" t="s">
        <v>67</v>
      </c>
      <c r="F94" s="133"/>
      <c r="G94" s="4"/>
      <c r="H94" s="6"/>
      <c r="I94" s="4"/>
      <c r="J94" s="6"/>
      <c r="K94" s="4"/>
      <c r="L94" s="4"/>
      <c r="M94" s="4"/>
      <c r="N94" s="4"/>
      <c r="O94" s="4"/>
      <c r="P94" s="4"/>
    </row>
    <row r="95" spans="1:16" s="7" customFormat="1" ht="18" customHeight="1">
      <c r="A95" s="12"/>
      <c r="B95" s="12"/>
      <c r="C95" s="12"/>
      <c r="D95" s="12"/>
      <c r="E95" s="13"/>
      <c r="F95" s="13"/>
      <c r="G95" s="4"/>
      <c r="H95" s="6"/>
      <c r="I95" s="4"/>
      <c r="J95" s="6"/>
      <c r="K95" s="4"/>
      <c r="L95" s="4"/>
      <c r="M95" s="4"/>
      <c r="N95" s="4"/>
      <c r="O95" s="4"/>
      <c r="P95" s="4"/>
    </row>
    <row r="96" spans="1:16" s="7" customFormat="1" ht="18" customHeight="1">
      <c r="A96" s="12"/>
      <c r="B96" s="12"/>
      <c r="C96" s="12"/>
      <c r="D96" s="12"/>
      <c r="E96" s="13"/>
      <c r="F96" s="13"/>
      <c r="G96" s="4"/>
      <c r="H96" s="6"/>
      <c r="I96" s="4"/>
      <c r="J96" s="6"/>
      <c r="K96" s="4"/>
      <c r="L96" s="4"/>
      <c r="M96" s="4"/>
      <c r="N96" s="4"/>
      <c r="O96" s="4"/>
      <c r="P96" s="4"/>
    </row>
  </sheetData>
  <sheetProtection/>
  <mergeCells count="22">
    <mergeCell ref="A1:F1"/>
    <mergeCell ref="A2:F2"/>
    <mergeCell ref="A3:F3"/>
    <mergeCell ref="A4:C4"/>
    <mergeCell ref="A43:C43"/>
    <mergeCell ref="A90:C90"/>
    <mergeCell ref="A46:B46"/>
    <mergeCell ref="C46:D46"/>
    <mergeCell ref="E46:F46"/>
    <mergeCell ref="A47:B47"/>
    <mergeCell ref="C47:D47"/>
    <mergeCell ref="E47:F47"/>
    <mergeCell ref="A48:F48"/>
    <mergeCell ref="A49:F49"/>
    <mergeCell ref="C93:D93"/>
    <mergeCell ref="E93:F93"/>
    <mergeCell ref="A94:B94"/>
    <mergeCell ref="C94:D94"/>
    <mergeCell ref="E94:F94"/>
    <mergeCell ref="A50:F50"/>
    <mergeCell ref="A51:C51"/>
    <mergeCell ref="A93:B93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selection activeCell="A4" sqref="A4:F44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9.421875" style="0" customWidth="1"/>
    <col min="10" max="10" width="14.00390625" style="2" bestFit="1" customWidth="1"/>
  </cols>
  <sheetData>
    <row r="1" spans="1:16" s="7" customFormat="1" ht="19.5" customHeight="1">
      <c r="A1" s="108" t="s">
        <v>51</v>
      </c>
      <c r="B1" s="108"/>
      <c r="C1" s="108"/>
      <c r="D1" s="108"/>
      <c r="E1" s="108"/>
      <c r="F1" s="108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08" t="s">
        <v>83</v>
      </c>
      <c r="B2" s="108"/>
      <c r="C2" s="108"/>
      <c r="D2" s="108"/>
      <c r="E2" s="108"/>
      <c r="F2" s="108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09" t="s">
        <v>100</v>
      </c>
      <c r="B3" s="109"/>
      <c r="C3" s="109"/>
      <c r="D3" s="109"/>
      <c r="E3" s="109"/>
      <c r="F3" s="109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10" t="s">
        <v>1</v>
      </c>
      <c r="B4" s="111"/>
      <c r="C4" s="112"/>
      <c r="D4" s="34" t="s">
        <v>2</v>
      </c>
      <c r="E4" s="35" t="s">
        <v>3</v>
      </c>
      <c r="F4" s="35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58" t="s">
        <v>5</v>
      </c>
      <c r="B5" s="59"/>
      <c r="C5" s="60"/>
      <c r="D5" s="61" t="s">
        <v>17</v>
      </c>
      <c r="E5" s="70" t="s">
        <v>97</v>
      </c>
      <c r="F5" s="63"/>
      <c r="H5" s="23"/>
      <c r="J5" s="23"/>
    </row>
    <row r="6" spans="1:10" s="22" customFormat="1" ht="16.5" customHeight="1">
      <c r="A6" s="64" t="s">
        <v>52</v>
      </c>
      <c r="B6" s="65"/>
      <c r="C6" s="66"/>
      <c r="D6" s="67" t="s">
        <v>18</v>
      </c>
      <c r="E6" s="62">
        <v>15489713.61</v>
      </c>
      <c r="F6" s="62"/>
      <c r="H6" s="23"/>
      <c r="J6" s="23"/>
    </row>
    <row r="7" spans="1:10" s="22" customFormat="1" ht="16.5" customHeight="1">
      <c r="A7" s="64" t="s">
        <v>53</v>
      </c>
      <c r="B7" s="65"/>
      <c r="C7" s="66"/>
      <c r="D7" s="67" t="s">
        <v>18</v>
      </c>
      <c r="E7" s="62">
        <v>127795.45</v>
      </c>
      <c r="F7" s="62"/>
      <c r="H7" s="23"/>
      <c r="J7" s="23"/>
    </row>
    <row r="8" spans="1:10" s="22" customFormat="1" ht="16.5" customHeight="1">
      <c r="A8" s="64" t="s">
        <v>54</v>
      </c>
      <c r="B8" s="65"/>
      <c r="C8" s="66"/>
      <c r="D8" s="67" t="s">
        <v>18</v>
      </c>
      <c r="E8" s="62">
        <v>866533.48</v>
      </c>
      <c r="F8" s="62"/>
      <c r="H8" s="23"/>
      <c r="J8" s="23"/>
    </row>
    <row r="9" spans="1:10" s="22" customFormat="1" ht="16.5" customHeight="1">
      <c r="A9" s="64" t="s">
        <v>55</v>
      </c>
      <c r="B9" s="65"/>
      <c r="C9" s="66"/>
      <c r="D9" s="67" t="s">
        <v>18</v>
      </c>
      <c r="E9" s="62">
        <v>13862.5</v>
      </c>
      <c r="F9" s="62"/>
      <c r="H9" s="23"/>
      <c r="J9" s="23"/>
    </row>
    <row r="10" spans="1:10" s="22" customFormat="1" ht="16.5" customHeight="1">
      <c r="A10" s="64" t="s">
        <v>56</v>
      </c>
      <c r="B10" s="65"/>
      <c r="C10" s="66"/>
      <c r="D10" s="67" t="s">
        <v>18</v>
      </c>
      <c r="E10" s="62">
        <v>12503.24</v>
      </c>
      <c r="F10" s="62"/>
      <c r="G10" s="28"/>
      <c r="H10" s="23"/>
      <c r="I10" s="28"/>
      <c r="J10" s="23"/>
    </row>
    <row r="11" spans="1:10" s="22" customFormat="1" ht="16.5" customHeight="1">
      <c r="A11" s="64" t="s">
        <v>57</v>
      </c>
      <c r="B11" s="65"/>
      <c r="C11" s="66"/>
      <c r="D11" s="67" t="s">
        <v>18</v>
      </c>
      <c r="E11" s="62">
        <v>13479602.76</v>
      </c>
      <c r="F11" s="62"/>
      <c r="G11" s="28"/>
      <c r="H11" s="23"/>
      <c r="I11" s="28"/>
      <c r="J11" s="23"/>
    </row>
    <row r="12" spans="1:10" s="22" customFormat="1" ht="16.5" customHeight="1">
      <c r="A12" s="74" t="s">
        <v>58</v>
      </c>
      <c r="B12" s="65"/>
      <c r="C12" s="66"/>
      <c r="D12" s="67" t="s">
        <v>19</v>
      </c>
      <c r="E12" s="70" t="s">
        <v>97</v>
      </c>
      <c r="F12" s="62"/>
      <c r="G12" s="28"/>
      <c r="H12" s="23"/>
      <c r="J12" s="23"/>
    </row>
    <row r="13" spans="1:10" s="22" customFormat="1" ht="16.5" customHeight="1">
      <c r="A13" s="64" t="s">
        <v>59</v>
      </c>
      <c r="B13" s="65"/>
      <c r="C13" s="66"/>
      <c r="D13" s="67" t="s">
        <v>19</v>
      </c>
      <c r="E13" s="70" t="s">
        <v>97</v>
      </c>
      <c r="F13" s="62"/>
      <c r="H13" s="23"/>
      <c r="I13" s="28"/>
      <c r="J13" s="23"/>
    </row>
    <row r="14" spans="1:10" s="22" customFormat="1" ht="16.5" customHeight="1">
      <c r="A14" s="64" t="s">
        <v>88</v>
      </c>
      <c r="B14" s="65"/>
      <c r="C14" s="66"/>
      <c r="D14" s="67"/>
      <c r="E14" s="62">
        <v>28750</v>
      </c>
      <c r="F14" s="62"/>
      <c r="H14" s="23"/>
      <c r="J14" s="23"/>
    </row>
    <row r="15" spans="1:10" s="22" customFormat="1" ht="16.5" customHeight="1">
      <c r="A15" s="64" t="s">
        <v>89</v>
      </c>
      <c r="B15" s="65"/>
      <c r="C15" s="66"/>
      <c r="D15" s="67" t="s">
        <v>20</v>
      </c>
      <c r="E15" s="62">
        <v>63719.17</v>
      </c>
      <c r="F15" s="62"/>
      <c r="H15" s="23"/>
      <c r="J15" s="23"/>
    </row>
    <row r="16" spans="1:10" s="22" customFormat="1" ht="16.5" customHeight="1">
      <c r="A16" s="64" t="s">
        <v>60</v>
      </c>
      <c r="B16" s="65"/>
      <c r="C16" s="66"/>
      <c r="D16" s="67" t="s">
        <v>41</v>
      </c>
      <c r="E16" s="62">
        <v>9000</v>
      </c>
      <c r="F16" s="62"/>
      <c r="H16" s="23"/>
      <c r="J16" s="23"/>
    </row>
    <row r="17" spans="1:10" s="22" customFormat="1" ht="16.5" customHeight="1">
      <c r="A17" s="64" t="s">
        <v>94</v>
      </c>
      <c r="B17" s="65"/>
      <c r="C17" s="66"/>
      <c r="D17" s="67" t="s">
        <v>30</v>
      </c>
      <c r="E17" s="62">
        <v>24000</v>
      </c>
      <c r="F17" s="62"/>
      <c r="H17" s="23"/>
      <c r="J17" s="23"/>
    </row>
    <row r="18" spans="1:10" s="22" customFormat="1" ht="16.5" customHeight="1">
      <c r="A18" s="64" t="s">
        <v>80</v>
      </c>
      <c r="B18" s="65"/>
      <c r="C18" s="66"/>
      <c r="D18" s="67"/>
      <c r="E18" s="62">
        <v>49528</v>
      </c>
      <c r="F18" s="62"/>
      <c r="H18" s="23"/>
      <c r="J18" s="23"/>
    </row>
    <row r="19" spans="1:10" s="22" customFormat="1" ht="16.5" customHeight="1">
      <c r="A19" s="64" t="s">
        <v>93</v>
      </c>
      <c r="B19" s="65"/>
      <c r="C19" s="66"/>
      <c r="D19" s="67" t="s">
        <v>42</v>
      </c>
      <c r="E19" s="62">
        <v>24000</v>
      </c>
      <c r="F19" s="62"/>
      <c r="H19" s="23"/>
      <c r="J19" s="23"/>
    </row>
    <row r="20" spans="1:10" s="22" customFormat="1" ht="16.5" customHeight="1">
      <c r="A20" s="64" t="s">
        <v>36</v>
      </c>
      <c r="B20" s="65"/>
      <c r="C20" s="66"/>
      <c r="D20" s="67" t="s">
        <v>43</v>
      </c>
      <c r="E20" s="62"/>
      <c r="F20" s="62">
        <v>7776481.09</v>
      </c>
      <c r="H20" s="23"/>
      <c r="J20" s="23"/>
    </row>
    <row r="21" spans="1:10" s="22" customFormat="1" ht="16.5" customHeight="1">
      <c r="A21" s="64" t="s">
        <v>62</v>
      </c>
      <c r="B21" s="65"/>
      <c r="C21" s="66"/>
      <c r="D21" s="67" t="s">
        <v>44</v>
      </c>
      <c r="E21" s="62"/>
      <c r="F21" s="62">
        <v>2140676.15</v>
      </c>
      <c r="H21" s="23"/>
      <c r="J21" s="23"/>
    </row>
    <row r="22" spans="1:10" s="22" customFormat="1" ht="16.5" customHeight="1">
      <c r="A22" s="64" t="s">
        <v>37</v>
      </c>
      <c r="B22" s="65"/>
      <c r="C22" s="66"/>
      <c r="D22" s="67" t="s">
        <v>45</v>
      </c>
      <c r="E22" s="62"/>
      <c r="F22" s="62">
        <v>9000</v>
      </c>
      <c r="H22" s="23"/>
      <c r="J22" s="23"/>
    </row>
    <row r="23" spans="1:10" s="22" customFormat="1" ht="16.5" customHeight="1">
      <c r="A23" s="64" t="s">
        <v>15</v>
      </c>
      <c r="B23" s="65"/>
      <c r="C23" s="66"/>
      <c r="D23" s="67"/>
      <c r="E23" s="62"/>
      <c r="F23" s="62">
        <v>1837602.16</v>
      </c>
      <c r="H23" s="23"/>
      <c r="J23" s="23"/>
    </row>
    <row r="24" spans="1:10" s="22" customFormat="1" ht="16.5" customHeight="1">
      <c r="A24" s="64" t="s">
        <v>90</v>
      </c>
      <c r="B24" s="65"/>
      <c r="C24" s="66"/>
      <c r="D24" s="67"/>
      <c r="E24" s="62"/>
      <c r="F24" s="62">
        <v>540910</v>
      </c>
      <c r="H24" s="23"/>
      <c r="J24" s="23"/>
    </row>
    <row r="25" spans="1:10" s="22" customFormat="1" ht="16.5" customHeight="1">
      <c r="A25" s="64" t="s">
        <v>95</v>
      </c>
      <c r="B25" s="65"/>
      <c r="C25" s="66"/>
      <c r="D25" s="67" t="s">
        <v>46</v>
      </c>
      <c r="E25" s="62"/>
      <c r="F25" s="62">
        <v>24000</v>
      </c>
      <c r="H25" s="23"/>
      <c r="J25" s="23"/>
    </row>
    <row r="26" spans="1:10" s="22" customFormat="1" ht="16.5" customHeight="1">
      <c r="A26" s="64" t="s">
        <v>39</v>
      </c>
      <c r="B26" s="65"/>
      <c r="C26" s="66"/>
      <c r="D26" s="67" t="s">
        <v>29</v>
      </c>
      <c r="E26" s="62"/>
      <c r="F26" s="62">
        <v>9807726.31</v>
      </c>
      <c r="H26" s="23"/>
      <c r="J26" s="23"/>
    </row>
    <row r="27" spans="1:10" s="22" customFormat="1" ht="16.5" customHeight="1">
      <c r="A27" s="64" t="s">
        <v>40</v>
      </c>
      <c r="B27" s="65"/>
      <c r="C27" s="66"/>
      <c r="D27" s="67" t="s">
        <v>31</v>
      </c>
      <c r="E27" s="62"/>
      <c r="F27" s="62">
        <v>12097243.59</v>
      </c>
      <c r="H27" s="23"/>
      <c r="J27" s="23"/>
    </row>
    <row r="28" spans="1:10" s="22" customFormat="1" ht="16.5" customHeight="1">
      <c r="A28" s="64" t="s">
        <v>99</v>
      </c>
      <c r="B28" s="65"/>
      <c r="C28" s="66"/>
      <c r="D28" s="67" t="s">
        <v>47</v>
      </c>
      <c r="E28" s="62">
        <v>1090</v>
      </c>
      <c r="F28" s="62"/>
      <c r="H28" s="23"/>
      <c r="J28" s="23"/>
    </row>
    <row r="29" spans="1:10" s="22" customFormat="1" ht="16.5" customHeight="1">
      <c r="A29" s="64" t="s">
        <v>14</v>
      </c>
      <c r="B29" s="65"/>
      <c r="C29" s="66"/>
      <c r="D29" s="67" t="s">
        <v>74</v>
      </c>
      <c r="E29" s="62">
        <v>1204573</v>
      </c>
      <c r="F29" s="62"/>
      <c r="H29" s="23"/>
      <c r="J29" s="23"/>
    </row>
    <row r="30" spans="1:10" s="22" customFormat="1" ht="16.5" customHeight="1">
      <c r="A30" s="64" t="s">
        <v>78</v>
      </c>
      <c r="B30" s="65"/>
      <c r="C30" s="66"/>
      <c r="D30" s="67" t="s">
        <v>48</v>
      </c>
      <c r="E30" s="62">
        <v>428520</v>
      </c>
      <c r="F30" s="62"/>
      <c r="H30" s="23"/>
      <c r="J30" s="23"/>
    </row>
    <row r="31" spans="1:10" s="22" customFormat="1" ht="16.5" customHeight="1">
      <c r="A31" s="64" t="s">
        <v>79</v>
      </c>
      <c r="B31" s="65"/>
      <c r="C31" s="66"/>
      <c r="D31" s="67" t="s">
        <v>21</v>
      </c>
      <c r="E31" s="62">
        <v>1181345</v>
      </c>
      <c r="F31" s="62"/>
      <c r="H31" s="23"/>
      <c r="J31" s="23"/>
    </row>
    <row r="32" spans="1:10" s="22" customFormat="1" ht="16.5" customHeight="1">
      <c r="A32" s="64" t="s">
        <v>71</v>
      </c>
      <c r="B32" s="65"/>
      <c r="C32" s="66"/>
      <c r="D32" s="67" t="s">
        <v>75</v>
      </c>
      <c r="E32" s="70" t="s">
        <v>97</v>
      </c>
      <c r="F32" s="62"/>
      <c r="H32" s="23"/>
      <c r="J32" s="23"/>
    </row>
    <row r="33" spans="1:10" s="22" customFormat="1" ht="16.5" customHeight="1">
      <c r="A33" s="64" t="s">
        <v>7</v>
      </c>
      <c r="B33" s="65"/>
      <c r="C33" s="66"/>
      <c r="D33" s="67" t="s">
        <v>22</v>
      </c>
      <c r="E33" s="62">
        <v>39600</v>
      </c>
      <c r="F33" s="62"/>
      <c r="H33" s="23"/>
      <c r="J33" s="23"/>
    </row>
    <row r="34" spans="1:10" s="22" customFormat="1" ht="16.5" customHeight="1">
      <c r="A34" s="64" t="s">
        <v>8</v>
      </c>
      <c r="B34" s="65"/>
      <c r="C34" s="66"/>
      <c r="D34" s="67" t="s">
        <v>23</v>
      </c>
      <c r="E34" s="62">
        <v>188037</v>
      </c>
      <c r="F34" s="62"/>
      <c r="H34" s="23"/>
      <c r="J34" s="23"/>
    </row>
    <row r="35" spans="1:10" s="22" customFormat="1" ht="16.5" customHeight="1">
      <c r="A35" s="64" t="s">
        <v>72</v>
      </c>
      <c r="B35" s="65"/>
      <c r="C35" s="66"/>
      <c r="D35" s="67" t="s">
        <v>76</v>
      </c>
      <c r="E35" s="70" t="s">
        <v>97</v>
      </c>
      <c r="F35" s="62"/>
      <c r="H35" s="23"/>
      <c r="J35" s="23"/>
    </row>
    <row r="36" spans="1:10" s="22" customFormat="1" ht="16.5" customHeight="1">
      <c r="A36" s="64" t="s">
        <v>9</v>
      </c>
      <c r="B36" s="65"/>
      <c r="C36" s="66"/>
      <c r="D36" s="67" t="s">
        <v>24</v>
      </c>
      <c r="E36" s="62">
        <v>9870</v>
      </c>
      <c r="F36" s="62"/>
      <c r="H36" s="23"/>
      <c r="J36" s="23"/>
    </row>
    <row r="37" spans="1:10" s="22" customFormat="1" ht="16.5" customHeight="1">
      <c r="A37" s="64" t="s">
        <v>73</v>
      </c>
      <c r="B37" s="65"/>
      <c r="C37" s="66"/>
      <c r="D37" s="67" t="s">
        <v>77</v>
      </c>
      <c r="E37" s="70" t="s">
        <v>97</v>
      </c>
      <c r="F37" s="62"/>
      <c r="H37" s="23"/>
      <c r="J37" s="23"/>
    </row>
    <row r="38" spans="1:10" s="22" customFormat="1" ht="16.5" customHeight="1">
      <c r="A38" s="64" t="s">
        <v>10</v>
      </c>
      <c r="B38" s="65"/>
      <c r="C38" s="66"/>
      <c r="D38" s="67" t="s">
        <v>25</v>
      </c>
      <c r="E38" s="62">
        <v>34496.09</v>
      </c>
      <c r="F38" s="62"/>
      <c r="H38" s="23"/>
      <c r="J38" s="23"/>
    </row>
    <row r="39" spans="1:10" s="22" customFormat="1" ht="16.5" customHeight="1">
      <c r="A39" s="64" t="s">
        <v>12</v>
      </c>
      <c r="B39" s="65"/>
      <c r="C39" s="66"/>
      <c r="D39" s="67" t="s">
        <v>27</v>
      </c>
      <c r="E39" s="62">
        <v>33100</v>
      </c>
      <c r="F39" s="62"/>
      <c r="H39" s="23"/>
      <c r="J39" s="23"/>
    </row>
    <row r="40" spans="1:10" s="22" customFormat="1" ht="16.5" customHeight="1">
      <c r="A40" s="64" t="s">
        <v>13</v>
      </c>
      <c r="B40" s="65"/>
      <c r="C40" s="66"/>
      <c r="D40" s="67" t="s">
        <v>28</v>
      </c>
      <c r="E40" s="62">
        <v>233000</v>
      </c>
      <c r="F40" s="62"/>
      <c r="H40" s="23"/>
      <c r="J40" s="23"/>
    </row>
    <row r="41" spans="1:10" s="22" customFormat="1" ht="16.5" customHeight="1">
      <c r="A41" s="64" t="s">
        <v>84</v>
      </c>
      <c r="B41" s="65"/>
      <c r="C41" s="66"/>
      <c r="D41" s="67" t="s">
        <v>26</v>
      </c>
      <c r="E41" s="62"/>
      <c r="F41" s="62"/>
      <c r="H41" s="23"/>
      <c r="J41" s="23"/>
    </row>
    <row r="42" spans="1:10" s="22" customFormat="1" ht="16.5" customHeight="1">
      <c r="A42" s="64" t="s">
        <v>11</v>
      </c>
      <c r="B42" s="65"/>
      <c r="C42" s="66"/>
      <c r="D42" s="67"/>
      <c r="E42" s="62">
        <v>661000</v>
      </c>
      <c r="F42" s="62"/>
      <c r="H42" s="23"/>
      <c r="J42" s="23"/>
    </row>
    <row r="43" spans="1:10" s="22" customFormat="1" ht="18.75" customHeight="1">
      <c r="A43" s="71" t="s">
        <v>98</v>
      </c>
      <c r="B43" s="72"/>
      <c r="C43" s="73"/>
      <c r="D43" s="67"/>
      <c r="E43" s="62">
        <v>30000</v>
      </c>
      <c r="F43" s="62"/>
      <c r="G43" s="28"/>
      <c r="H43" s="23"/>
      <c r="J43" s="23"/>
    </row>
    <row r="44" spans="1:16" s="7" customFormat="1" ht="16.5" customHeight="1" thickBot="1">
      <c r="A44" s="22"/>
      <c r="B44" s="65"/>
      <c r="C44" s="66"/>
      <c r="D44" s="68"/>
      <c r="E44" s="69">
        <f>SUM(E6:E43)</f>
        <v>34233639.3</v>
      </c>
      <c r="F44" s="69">
        <f>SUM(F5:F41)</f>
        <v>34233639.3</v>
      </c>
      <c r="G44" s="10"/>
      <c r="H44" s="6"/>
      <c r="I44" s="4"/>
      <c r="J44" s="6"/>
      <c r="K44" s="4"/>
      <c r="L44" s="4"/>
      <c r="M44" s="4"/>
      <c r="N44" s="4"/>
      <c r="O44" s="4"/>
      <c r="P44" s="4"/>
    </row>
    <row r="45" spans="1:16" s="7" customFormat="1" ht="16.5" customHeight="1" thickTop="1">
      <c r="A45" s="22"/>
      <c r="B45" s="65"/>
      <c r="C45" s="65"/>
      <c r="D45" s="75"/>
      <c r="E45" s="76"/>
      <c r="F45" s="76"/>
      <c r="G45" s="10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21" customHeight="1">
      <c r="A46" s="51" t="s">
        <v>33</v>
      </c>
      <c r="B46" s="51"/>
      <c r="C46" s="51" t="s">
        <v>34</v>
      </c>
      <c r="D46" s="51"/>
      <c r="E46" s="51" t="s">
        <v>35</v>
      </c>
      <c r="F46" s="51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13" t="s">
        <v>64</v>
      </c>
      <c r="B47" s="113"/>
      <c r="C47" s="113" t="s">
        <v>65</v>
      </c>
      <c r="D47" s="113"/>
      <c r="E47" s="115" t="s">
        <v>66</v>
      </c>
      <c r="F47" s="115"/>
      <c r="G47" s="4"/>
      <c r="H47" s="6"/>
      <c r="I47" s="4"/>
      <c r="J47" s="6"/>
      <c r="K47" s="4"/>
      <c r="L47" s="4"/>
      <c r="M47" s="4"/>
      <c r="N47" s="4"/>
      <c r="O47" s="4"/>
      <c r="P47" s="4"/>
    </row>
    <row r="48" spans="1:16" s="7" customFormat="1" ht="18" customHeight="1">
      <c r="A48" s="113" t="s">
        <v>32</v>
      </c>
      <c r="B48" s="113"/>
      <c r="C48" s="113" t="s">
        <v>68</v>
      </c>
      <c r="D48" s="113"/>
      <c r="E48" s="114" t="s">
        <v>67</v>
      </c>
      <c r="F48" s="114"/>
      <c r="G48" s="4"/>
      <c r="H48" s="6"/>
      <c r="I48" s="4"/>
      <c r="J48" s="6"/>
      <c r="K48" s="4"/>
      <c r="L48" s="4"/>
      <c r="M48" s="4"/>
      <c r="N48" s="4"/>
      <c r="O48" s="4"/>
      <c r="P48" s="4"/>
    </row>
  </sheetData>
  <sheetProtection/>
  <mergeCells count="10">
    <mergeCell ref="A48:B48"/>
    <mergeCell ref="C48:D48"/>
    <mergeCell ref="E48:F48"/>
    <mergeCell ref="A1:F1"/>
    <mergeCell ref="A2:F2"/>
    <mergeCell ref="A3:F3"/>
    <mergeCell ref="A4:C4"/>
    <mergeCell ref="A47:B47"/>
    <mergeCell ref="C47:D47"/>
    <mergeCell ref="E47:F47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zoomScalePageLayoutView="0" workbookViewId="0" topLeftCell="A25">
      <selection activeCell="A5" sqref="A5:F42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9.421875" style="0" customWidth="1"/>
    <col min="10" max="10" width="14.00390625" style="2" bestFit="1" customWidth="1"/>
  </cols>
  <sheetData>
    <row r="1" spans="1:16" s="7" customFormat="1" ht="19.5" customHeight="1">
      <c r="A1" s="119" t="s">
        <v>51</v>
      </c>
      <c r="B1" s="119"/>
      <c r="C1" s="119"/>
      <c r="D1" s="119"/>
      <c r="E1" s="119"/>
      <c r="F1" s="119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19" t="s">
        <v>83</v>
      </c>
      <c r="B2" s="119"/>
      <c r="C2" s="119"/>
      <c r="D2" s="119"/>
      <c r="E2" s="119"/>
      <c r="F2" s="119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20" t="s">
        <v>101</v>
      </c>
      <c r="B3" s="120"/>
      <c r="C3" s="120"/>
      <c r="D3" s="120"/>
      <c r="E3" s="120"/>
      <c r="F3" s="120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10" t="s">
        <v>1</v>
      </c>
      <c r="B4" s="111"/>
      <c r="C4" s="112"/>
      <c r="D4" s="34" t="s">
        <v>2</v>
      </c>
      <c r="E4" s="35" t="s">
        <v>3</v>
      </c>
      <c r="F4" s="35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58" t="s">
        <v>5</v>
      </c>
      <c r="B5" s="59"/>
      <c r="C5" s="60"/>
      <c r="D5" s="61" t="s">
        <v>17</v>
      </c>
      <c r="E5" s="70" t="s">
        <v>97</v>
      </c>
      <c r="F5" s="63"/>
      <c r="H5" s="23"/>
      <c r="J5" s="23"/>
    </row>
    <row r="6" spans="1:10" s="22" customFormat="1" ht="16.5" customHeight="1">
      <c r="A6" s="64" t="s">
        <v>52</v>
      </c>
      <c r="B6" s="65"/>
      <c r="C6" s="66"/>
      <c r="D6" s="67" t="s">
        <v>18</v>
      </c>
      <c r="E6" s="62">
        <v>11858524.25</v>
      </c>
      <c r="F6" s="62"/>
      <c r="H6" s="23"/>
      <c r="J6" s="23"/>
    </row>
    <row r="7" spans="1:10" s="22" customFormat="1" ht="16.5" customHeight="1">
      <c r="A7" s="64" t="s">
        <v>53</v>
      </c>
      <c r="B7" s="65"/>
      <c r="C7" s="66"/>
      <c r="D7" s="67" t="s">
        <v>18</v>
      </c>
      <c r="E7" s="62">
        <v>127795.45</v>
      </c>
      <c r="F7" s="62"/>
      <c r="H7" s="23"/>
      <c r="J7" s="23"/>
    </row>
    <row r="8" spans="1:10" s="22" customFormat="1" ht="16.5" customHeight="1">
      <c r="A8" s="64" t="s">
        <v>54</v>
      </c>
      <c r="B8" s="65"/>
      <c r="C8" s="66"/>
      <c r="D8" s="67" t="s">
        <v>18</v>
      </c>
      <c r="E8" s="62">
        <v>866533.48</v>
      </c>
      <c r="F8" s="62"/>
      <c r="H8" s="23"/>
      <c r="J8" s="23"/>
    </row>
    <row r="9" spans="1:10" s="22" customFormat="1" ht="16.5" customHeight="1">
      <c r="A9" s="64" t="s">
        <v>55</v>
      </c>
      <c r="B9" s="65"/>
      <c r="C9" s="66"/>
      <c r="D9" s="67" t="s">
        <v>18</v>
      </c>
      <c r="E9" s="62">
        <v>13862.5</v>
      </c>
      <c r="F9" s="62"/>
      <c r="H9" s="23"/>
      <c r="J9" s="23"/>
    </row>
    <row r="10" spans="1:10" s="22" customFormat="1" ht="16.5" customHeight="1">
      <c r="A10" s="64" t="s">
        <v>56</v>
      </c>
      <c r="B10" s="65"/>
      <c r="C10" s="66"/>
      <c r="D10" s="67" t="s">
        <v>18</v>
      </c>
      <c r="E10" s="62">
        <v>12503.24</v>
      </c>
      <c r="F10" s="62"/>
      <c r="G10" s="28"/>
      <c r="H10" s="23"/>
      <c r="I10" s="28"/>
      <c r="J10" s="23"/>
    </row>
    <row r="11" spans="1:10" s="22" customFormat="1" ht="16.5" customHeight="1">
      <c r="A11" s="64" t="s">
        <v>57</v>
      </c>
      <c r="B11" s="65"/>
      <c r="C11" s="66"/>
      <c r="D11" s="67" t="s">
        <v>18</v>
      </c>
      <c r="E11" s="62">
        <v>12778967.04</v>
      </c>
      <c r="F11" s="62"/>
      <c r="G11" s="28"/>
      <c r="H11" s="23"/>
      <c r="I11" s="28"/>
      <c r="J11" s="23"/>
    </row>
    <row r="12" spans="1:10" s="22" customFormat="1" ht="16.5" customHeight="1">
      <c r="A12" s="74" t="s">
        <v>58</v>
      </c>
      <c r="B12" s="65"/>
      <c r="C12" s="66"/>
      <c r="D12" s="67" t="s">
        <v>19</v>
      </c>
      <c r="E12" s="70"/>
      <c r="F12" s="62"/>
      <c r="G12" s="78"/>
      <c r="H12" s="23"/>
      <c r="J12" s="23"/>
    </row>
    <row r="13" spans="1:10" s="22" customFormat="1" ht="16.5" customHeight="1">
      <c r="A13" s="64" t="s">
        <v>59</v>
      </c>
      <c r="B13" s="65"/>
      <c r="C13" s="66"/>
      <c r="D13" s="67" t="s">
        <v>19</v>
      </c>
      <c r="E13" s="70" t="s">
        <v>97</v>
      </c>
      <c r="F13" s="62"/>
      <c r="H13" s="23"/>
      <c r="I13" s="28"/>
      <c r="J13" s="23"/>
    </row>
    <row r="14" spans="1:10" s="22" customFormat="1" ht="16.5" customHeight="1">
      <c r="A14" s="64" t="s">
        <v>88</v>
      </c>
      <c r="B14" s="65"/>
      <c r="C14" s="66"/>
      <c r="D14" s="67"/>
      <c r="E14" s="62">
        <v>28750</v>
      </c>
      <c r="F14" s="62"/>
      <c r="H14" s="23"/>
      <c r="J14" s="23"/>
    </row>
    <row r="15" spans="1:10" s="22" customFormat="1" ht="16.5" customHeight="1">
      <c r="A15" s="64" t="s">
        <v>89</v>
      </c>
      <c r="B15" s="65"/>
      <c r="C15" s="66"/>
      <c r="D15" s="67" t="s">
        <v>20</v>
      </c>
      <c r="E15" s="62">
        <v>63719.17</v>
      </c>
      <c r="F15" s="62"/>
      <c r="H15" s="23"/>
      <c r="J15" s="23"/>
    </row>
    <row r="16" spans="1:10" s="22" customFormat="1" ht="16.5" customHeight="1">
      <c r="A16" s="64" t="s">
        <v>60</v>
      </c>
      <c r="B16" s="65"/>
      <c r="C16" s="66"/>
      <c r="D16" s="67" t="s">
        <v>41</v>
      </c>
      <c r="E16" s="62">
        <v>9000</v>
      </c>
      <c r="F16" s="62"/>
      <c r="H16" s="23"/>
      <c r="J16" s="23"/>
    </row>
    <row r="17" spans="1:10" s="22" customFormat="1" ht="16.5" customHeight="1">
      <c r="A17" s="64" t="s">
        <v>94</v>
      </c>
      <c r="B17" s="65"/>
      <c r="C17" s="66"/>
      <c r="D17" s="67" t="s">
        <v>30</v>
      </c>
      <c r="E17" s="62">
        <v>24000</v>
      </c>
      <c r="F17" s="62"/>
      <c r="H17" s="23"/>
      <c r="J17" s="23"/>
    </row>
    <row r="18" spans="1:10" s="22" customFormat="1" ht="16.5" customHeight="1">
      <c r="A18" s="64" t="s">
        <v>93</v>
      </c>
      <c r="B18" s="65"/>
      <c r="C18" s="66"/>
      <c r="D18" s="67" t="s">
        <v>42</v>
      </c>
      <c r="E18" s="62">
        <v>24000</v>
      </c>
      <c r="F18" s="62"/>
      <c r="H18" s="23"/>
      <c r="J18" s="23"/>
    </row>
    <row r="19" spans="1:10" s="22" customFormat="1" ht="16.5" customHeight="1">
      <c r="A19" s="64" t="s">
        <v>36</v>
      </c>
      <c r="B19" s="65"/>
      <c r="C19" s="66"/>
      <c r="D19" s="67" t="s">
        <v>43</v>
      </c>
      <c r="E19" s="62"/>
      <c r="F19" s="62">
        <v>9374194.19</v>
      </c>
      <c r="H19" s="23"/>
      <c r="J19" s="23"/>
    </row>
    <row r="20" spans="1:10" s="22" customFormat="1" ht="16.5" customHeight="1">
      <c r="A20" s="64" t="s">
        <v>62</v>
      </c>
      <c r="B20" s="65"/>
      <c r="C20" s="66"/>
      <c r="D20" s="67" t="s">
        <v>44</v>
      </c>
      <c r="E20" s="62"/>
      <c r="F20" s="62">
        <v>489388.95</v>
      </c>
      <c r="H20" s="23"/>
      <c r="J20" s="23"/>
    </row>
    <row r="21" spans="1:10" s="22" customFormat="1" ht="16.5" customHeight="1">
      <c r="A21" s="64" t="s">
        <v>37</v>
      </c>
      <c r="B21" s="65"/>
      <c r="C21" s="66"/>
      <c r="D21" s="67" t="s">
        <v>45</v>
      </c>
      <c r="E21" s="62"/>
      <c r="F21" s="62">
        <v>9000</v>
      </c>
      <c r="H21" s="23"/>
      <c r="J21" s="23"/>
    </row>
    <row r="22" spans="1:10" s="22" customFormat="1" ht="16.5" customHeight="1">
      <c r="A22" s="64" t="s">
        <v>15</v>
      </c>
      <c r="B22" s="65"/>
      <c r="C22" s="66"/>
      <c r="D22" s="67"/>
      <c r="E22" s="62"/>
      <c r="F22" s="62">
        <v>1956155.73</v>
      </c>
      <c r="H22" s="23"/>
      <c r="J22" s="23"/>
    </row>
    <row r="23" spans="1:10" s="22" customFormat="1" ht="16.5" customHeight="1">
      <c r="A23" s="64" t="s">
        <v>90</v>
      </c>
      <c r="B23" s="65"/>
      <c r="C23" s="66"/>
      <c r="D23" s="67"/>
      <c r="E23" s="62"/>
      <c r="F23" s="62">
        <v>540910</v>
      </c>
      <c r="H23" s="23"/>
      <c r="J23" s="23"/>
    </row>
    <row r="24" spans="1:10" s="22" customFormat="1" ht="16.5" customHeight="1">
      <c r="A24" s="64" t="s">
        <v>95</v>
      </c>
      <c r="B24" s="65"/>
      <c r="C24" s="66"/>
      <c r="D24" s="67" t="s">
        <v>46</v>
      </c>
      <c r="E24" s="62"/>
      <c r="F24" s="62">
        <v>24000</v>
      </c>
      <c r="H24" s="23"/>
      <c r="J24" s="23"/>
    </row>
    <row r="25" spans="1:10" s="22" customFormat="1" ht="16.5" customHeight="1">
      <c r="A25" s="64" t="s">
        <v>39</v>
      </c>
      <c r="B25" s="65"/>
      <c r="C25" s="66"/>
      <c r="D25" s="67" t="s">
        <v>29</v>
      </c>
      <c r="E25" s="62"/>
      <c r="F25" s="62">
        <v>7944374.31</v>
      </c>
      <c r="H25" s="23"/>
      <c r="J25" s="23"/>
    </row>
    <row r="26" spans="1:10" s="22" customFormat="1" ht="16.5" customHeight="1">
      <c r="A26" s="64" t="s">
        <v>40</v>
      </c>
      <c r="B26" s="65"/>
      <c r="C26" s="66"/>
      <c r="D26" s="67" t="s">
        <v>31</v>
      </c>
      <c r="E26" s="62"/>
      <c r="F26" s="62">
        <v>12097243.59</v>
      </c>
      <c r="H26" s="23"/>
      <c r="J26" s="23"/>
    </row>
    <row r="27" spans="1:10" s="22" customFormat="1" ht="16.5" customHeight="1">
      <c r="A27" s="64" t="s">
        <v>99</v>
      </c>
      <c r="B27" s="65"/>
      <c r="C27" s="66"/>
      <c r="D27" s="67" t="s">
        <v>47</v>
      </c>
      <c r="E27" s="62"/>
      <c r="F27" s="62"/>
      <c r="H27" s="23"/>
      <c r="J27" s="23"/>
    </row>
    <row r="28" spans="1:10" s="22" customFormat="1" ht="16.5" customHeight="1">
      <c r="A28" s="64" t="s">
        <v>14</v>
      </c>
      <c r="B28" s="65"/>
      <c r="C28" s="66"/>
      <c r="D28" s="67" t="s">
        <v>74</v>
      </c>
      <c r="E28" s="62">
        <v>2231163</v>
      </c>
      <c r="F28" s="62"/>
      <c r="H28" s="23"/>
      <c r="J28" s="23"/>
    </row>
    <row r="29" spans="1:10" s="22" customFormat="1" ht="16.5" customHeight="1">
      <c r="A29" s="64" t="s">
        <v>78</v>
      </c>
      <c r="B29" s="65"/>
      <c r="C29" s="66"/>
      <c r="D29" s="67" t="s">
        <v>48</v>
      </c>
      <c r="E29" s="62">
        <v>642780</v>
      </c>
      <c r="F29" s="62"/>
      <c r="H29" s="23"/>
      <c r="J29" s="23"/>
    </row>
    <row r="30" spans="1:10" s="22" customFormat="1" ht="16.5" customHeight="1">
      <c r="A30" s="64" t="s">
        <v>79</v>
      </c>
      <c r="B30" s="65"/>
      <c r="C30" s="66"/>
      <c r="D30" s="67" t="s">
        <v>21</v>
      </c>
      <c r="E30" s="62">
        <v>1764805</v>
      </c>
      <c r="F30" s="62"/>
      <c r="H30" s="23"/>
      <c r="J30" s="23"/>
    </row>
    <row r="31" spans="1:10" s="22" customFormat="1" ht="16.5" customHeight="1">
      <c r="A31" s="64" t="s">
        <v>71</v>
      </c>
      <c r="B31" s="65"/>
      <c r="C31" s="66"/>
      <c r="D31" s="67" t="s">
        <v>75</v>
      </c>
      <c r="E31" s="70" t="s">
        <v>97</v>
      </c>
      <c r="F31" s="62"/>
      <c r="H31" s="23"/>
      <c r="J31" s="23"/>
    </row>
    <row r="32" spans="1:10" s="22" customFormat="1" ht="16.5" customHeight="1">
      <c r="A32" s="64" t="s">
        <v>7</v>
      </c>
      <c r="B32" s="65"/>
      <c r="C32" s="66"/>
      <c r="D32" s="67" t="s">
        <v>22</v>
      </c>
      <c r="E32" s="62">
        <v>67815.25</v>
      </c>
      <c r="F32" s="62"/>
      <c r="H32" s="23"/>
      <c r="J32" s="23"/>
    </row>
    <row r="33" spans="1:10" s="22" customFormat="1" ht="16.5" customHeight="1">
      <c r="A33" s="64" t="s">
        <v>8</v>
      </c>
      <c r="B33" s="65"/>
      <c r="C33" s="66"/>
      <c r="D33" s="67" t="s">
        <v>23</v>
      </c>
      <c r="E33" s="62">
        <v>539212.76</v>
      </c>
      <c r="F33" s="62"/>
      <c r="H33" s="23"/>
      <c r="J33" s="23"/>
    </row>
    <row r="34" spans="1:10" s="22" customFormat="1" ht="16.5" customHeight="1">
      <c r="A34" s="64" t="s">
        <v>72</v>
      </c>
      <c r="B34" s="65"/>
      <c r="C34" s="66"/>
      <c r="D34" s="67" t="s">
        <v>76</v>
      </c>
      <c r="E34" s="70" t="s">
        <v>97</v>
      </c>
      <c r="F34" s="62"/>
      <c r="H34" s="23"/>
      <c r="J34" s="23"/>
    </row>
    <row r="35" spans="1:10" s="22" customFormat="1" ht="16.5" customHeight="1">
      <c r="A35" s="64" t="s">
        <v>9</v>
      </c>
      <c r="B35" s="65"/>
      <c r="C35" s="66"/>
      <c r="D35" s="67" t="s">
        <v>24</v>
      </c>
      <c r="E35" s="62">
        <v>188310</v>
      </c>
      <c r="F35" s="62"/>
      <c r="H35" s="23"/>
      <c r="J35" s="23"/>
    </row>
    <row r="36" spans="1:10" s="22" customFormat="1" ht="16.5" customHeight="1">
      <c r="A36" s="64" t="s">
        <v>73</v>
      </c>
      <c r="B36" s="65"/>
      <c r="C36" s="66"/>
      <c r="D36" s="67" t="s">
        <v>77</v>
      </c>
      <c r="E36" s="70" t="s">
        <v>97</v>
      </c>
      <c r="F36" s="62"/>
      <c r="H36" s="23"/>
      <c r="J36" s="23"/>
    </row>
    <row r="37" spans="1:10" s="22" customFormat="1" ht="16.5" customHeight="1">
      <c r="A37" s="64" t="s">
        <v>10</v>
      </c>
      <c r="B37" s="65"/>
      <c r="C37" s="66"/>
      <c r="D37" s="67" t="s">
        <v>25</v>
      </c>
      <c r="E37" s="62">
        <v>69125.63</v>
      </c>
      <c r="F37" s="62"/>
      <c r="H37" s="23"/>
      <c r="J37" s="23"/>
    </row>
    <row r="38" spans="1:10" s="22" customFormat="1" ht="16.5" customHeight="1">
      <c r="A38" s="64" t="s">
        <v>12</v>
      </c>
      <c r="B38" s="65"/>
      <c r="C38" s="66"/>
      <c r="D38" s="67" t="s">
        <v>27</v>
      </c>
      <c r="E38" s="62">
        <v>87400</v>
      </c>
      <c r="F38" s="62"/>
      <c r="H38" s="23"/>
      <c r="J38" s="23"/>
    </row>
    <row r="39" spans="1:10" s="22" customFormat="1" ht="16.5" customHeight="1">
      <c r="A39" s="64" t="s">
        <v>13</v>
      </c>
      <c r="B39" s="65"/>
      <c r="C39" s="66"/>
      <c r="D39" s="67" t="s">
        <v>28</v>
      </c>
      <c r="E39" s="62">
        <v>326000</v>
      </c>
      <c r="F39" s="62"/>
      <c r="H39" s="23"/>
      <c r="J39" s="23"/>
    </row>
    <row r="40" spans="1:10" s="22" customFormat="1" ht="16.5" customHeight="1">
      <c r="A40" s="64" t="s">
        <v>84</v>
      </c>
      <c r="B40" s="65"/>
      <c r="C40" s="66"/>
      <c r="D40" s="67" t="s">
        <v>26</v>
      </c>
      <c r="E40" s="62"/>
      <c r="F40" s="62"/>
      <c r="H40" s="23"/>
      <c r="J40" s="23"/>
    </row>
    <row r="41" spans="1:10" s="22" customFormat="1" ht="16.5" customHeight="1">
      <c r="A41" s="64" t="s">
        <v>11</v>
      </c>
      <c r="B41" s="65"/>
      <c r="C41" s="66"/>
      <c r="D41" s="67"/>
      <c r="E41" s="62">
        <v>681000</v>
      </c>
      <c r="F41" s="62"/>
      <c r="H41" s="23"/>
      <c r="J41" s="23"/>
    </row>
    <row r="42" spans="1:10" s="22" customFormat="1" ht="18.75" customHeight="1">
      <c r="A42" s="71" t="s">
        <v>98</v>
      </c>
      <c r="B42" s="72"/>
      <c r="C42" s="73"/>
      <c r="D42" s="67"/>
      <c r="E42" s="62">
        <v>30000</v>
      </c>
      <c r="F42" s="62"/>
      <c r="G42" s="28"/>
      <c r="H42" s="23"/>
      <c r="J42" s="23"/>
    </row>
    <row r="43" spans="1:16" s="7" customFormat="1" ht="16.5" customHeight="1" thickBot="1">
      <c r="A43" s="22"/>
      <c r="B43" s="65"/>
      <c r="C43" s="66"/>
      <c r="D43" s="68"/>
      <c r="E43" s="69">
        <f>SUM(E6:E42)</f>
        <v>32435266.770000003</v>
      </c>
      <c r="F43" s="69">
        <f>SUM(F5:F40)</f>
        <v>32435266.77</v>
      </c>
      <c r="G43" s="10"/>
      <c r="H43" s="6"/>
      <c r="I43" s="4"/>
      <c r="J43" s="6"/>
      <c r="K43" s="4"/>
      <c r="L43" s="4"/>
      <c r="M43" s="4"/>
      <c r="N43" s="4"/>
      <c r="O43" s="4"/>
      <c r="P43" s="4"/>
    </row>
    <row r="44" spans="1:16" s="7" customFormat="1" ht="39" customHeight="1" thickTop="1">
      <c r="A44" s="77" t="s">
        <v>33</v>
      </c>
      <c r="B44" s="77"/>
      <c r="C44" s="77" t="s">
        <v>34</v>
      </c>
      <c r="D44" s="77"/>
      <c r="E44" s="77" t="s">
        <v>35</v>
      </c>
      <c r="F44" s="77"/>
      <c r="G44" s="4"/>
      <c r="H44" s="6"/>
      <c r="I44" s="4"/>
      <c r="J44" s="6"/>
      <c r="K44" s="4"/>
      <c r="L44" s="4"/>
      <c r="M44" s="4"/>
      <c r="N44" s="4"/>
      <c r="O44" s="4"/>
      <c r="P44" s="4"/>
    </row>
    <row r="45" spans="1:16" s="7" customFormat="1" ht="18" customHeight="1">
      <c r="A45" s="117" t="s">
        <v>64</v>
      </c>
      <c r="B45" s="117"/>
      <c r="C45" s="117" t="s">
        <v>65</v>
      </c>
      <c r="D45" s="117"/>
      <c r="E45" s="116" t="s">
        <v>66</v>
      </c>
      <c r="F45" s="116"/>
      <c r="G45" s="4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18" customHeight="1">
      <c r="A46" s="117" t="s">
        <v>32</v>
      </c>
      <c r="B46" s="117"/>
      <c r="C46" s="117" t="s">
        <v>68</v>
      </c>
      <c r="D46" s="117"/>
      <c r="E46" s="118" t="s">
        <v>67</v>
      </c>
      <c r="F46" s="118"/>
      <c r="G46" s="4"/>
      <c r="H46" s="6"/>
      <c r="I46" s="4"/>
      <c r="J46" s="6"/>
      <c r="K46" s="4"/>
      <c r="L46" s="4"/>
      <c r="M46" s="4"/>
      <c r="N46" s="4"/>
      <c r="O46" s="4"/>
      <c r="P46" s="4"/>
    </row>
  </sheetData>
  <sheetProtection/>
  <mergeCells count="10">
    <mergeCell ref="E45:F45"/>
    <mergeCell ref="A46:B46"/>
    <mergeCell ref="C46:D46"/>
    <mergeCell ref="E46:F46"/>
    <mergeCell ref="A1:F1"/>
    <mergeCell ref="A2:F2"/>
    <mergeCell ref="A3:F3"/>
    <mergeCell ref="A4:C4"/>
    <mergeCell ref="A45:B45"/>
    <mergeCell ref="C45:D45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selection activeCell="A4" sqref="A4:F43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9.421875" style="0" customWidth="1"/>
    <col min="10" max="10" width="14.00390625" style="2" bestFit="1" customWidth="1"/>
  </cols>
  <sheetData>
    <row r="1" spans="1:16" s="7" customFormat="1" ht="19.5" customHeight="1">
      <c r="A1" s="108" t="s">
        <v>51</v>
      </c>
      <c r="B1" s="108"/>
      <c r="C1" s="108"/>
      <c r="D1" s="108"/>
      <c r="E1" s="108"/>
      <c r="F1" s="108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08" t="s">
        <v>83</v>
      </c>
      <c r="B2" s="108"/>
      <c r="C2" s="108"/>
      <c r="D2" s="108"/>
      <c r="E2" s="108"/>
      <c r="F2" s="108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09" t="s">
        <v>102</v>
      </c>
      <c r="B3" s="109"/>
      <c r="C3" s="109"/>
      <c r="D3" s="109"/>
      <c r="E3" s="109"/>
      <c r="F3" s="109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10" t="s">
        <v>1</v>
      </c>
      <c r="B4" s="111"/>
      <c r="C4" s="112"/>
      <c r="D4" s="34" t="s">
        <v>2</v>
      </c>
      <c r="E4" s="35" t="s">
        <v>3</v>
      </c>
      <c r="F4" s="35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58" t="s">
        <v>5</v>
      </c>
      <c r="B5" s="59"/>
      <c r="C5" s="60"/>
      <c r="D5" s="61" t="s">
        <v>17</v>
      </c>
      <c r="E5" s="70" t="s">
        <v>97</v>
      </c>
      <c r="F5" s="63"/>
      <c r="H5" s="23"/>
      <c r="J5" s="23"/>
    </row>
    <row r="6" spans="1:10" s="22" customFormat="1" ht="16.5" customHeight="1">
      <c r="A6" s="64" t="s">
        <v>52</v>
      </c>
      <c r="B6" s="65"/>
      <c r="C6" s="66"/>
      <c r="D6" s="67" t="s">
        <v>18</v>
      </c>
      <c r="E6" s="62">
        <v>12155664.65</v>
      </c>
      <c r="F6" s="62"/>
      <c r="H6" s="23"/>
      <c r="J6" s="23"/>
    </row>
    <row r="7" spans="1:10" s="22" customFormat="1" ht="16.5" customHeight="1">
      <c r="A7" s="64" t="s">
        <v>53</v>
      </c>
      <c r="B7" s="65"/>
      <c r="C7" s="66"/>
      <c r="D7" s="67" t="s">
        <v>18</v>
      </c>
      <c r="E7" s="62">
        <v>127795.45</v>
      </c>
      <c r="F7" s="62"/>
      <c r="H7" s="23"/>
      <c r="J7" s="23"/>
    </row>
    <row r="8" spans="1:10" s="22" customFormat="1" ht="16.5" customHeight="1">
      <c r="A8" s="64" t="s">
        <v>54</v>
      </c>
      <c r="B8" s="65"/>
      <c r="C8" s="66"/>
      <c r="D8" s="67" t="s">
        <v>18</v>
      </c>
      <c r="E8" s="62">
        <v>926834.48</v>
      </c>
      <c r="F8" s="62"/>
      <c r="H8" s="23"/>
      <c r="J8" s="23"/>
    </row>
    <row r="9" spans="1:10" s="22" customFormat="1" ht="16.5" customHeight="1">
      <c r="A9" s="64" t="s">
        <v>55</v>
      </c>
      <c r="B9" s="65"/>
      <c r="C9" s="66"/>
      <c r="D9" s="67" t="s">
        <v>18</v>
      </c>
      <c r="E9" s="62">
        <v>13862.5</v>
      </c>
      <c r="F9" s="62"/>
      <c r="H9" s="23">
        <f>E11+E12</f>
        <v>14852592.1</v>
      </c>
      <c r="J9" s="23"/>
    </row>
    <row r="10" spans="1:10" s="22" customFormat="1" ht="16.5" customHeight="1">
      <c r="A10" s="64" t="s">
        <v>56</v>
      </c>
      <c r="B10" s="65"/>
      <c r="C10" s="66"/>
      <c r="D10" s="67" t="s">
        <v>18</v>
      </c>
      <c r="E10" s="62">
        <v>12503.24</v>
      </c>
      <c r="F10" s="62"/>
      <c r="G10" s="28">
        <f>SUM(E5:E13)+E18</f>
        <v>28113252.419999998</v>
      </c>
      <c r="H10" s="23"/>
      <c r="I10" s="28"/>
      <c r="J10" s="23"/>
    </row>
    <row r="11" spans="1:10" s="22" customFormat="1" ht="16.5" customHeight="1">
      <c r="A11" s="64" t="s">
        <v>57</v>
      </c>
      <c r="B11" s="65"/>
      <c r="C11" s="66"/>
      <c r="D11" s="67" t="s">
        <v>18</v>
      </c>
      <c r="E11" s="62">
        <v>12780767.04</v>
      </c>
      <c r="F11" s="62"/>
      <c r="G11" s="28" t="s">
        <v>69</v>
      </c>
      <c r="H11" s="23">
        <v>4128908.21</v>
      </c>
      <c r="I11" s="28">
        <f>E11-H11</f>
        <v>8651858.829999998</v>
      </c>
      <c r="J11" s="23"/>
    </row>
    <row r="12" spans="1:10" s="22" customFormat="1" ht="16.5" customHeight="1">
      <c r="A12" s="74" t="s">
        <v>58</v>
      </c>
      <c r="B12" s="65"/>
      <c r="C12" s="66"/>
      <c r="D12" s="67" t="s">
        <v>19</v>
      </c>
      <c r="E12" s="70">
        <v>2071825.06</v>
      </c>
      <c r="F12" s="62"/>
      <c r="G12" s="28"/>
      <c r="H12" s="23"/>
      <c r="J12" s="23"/>
    </row>
    <row r="13" spans="1:10" s="22" customFormat="1" ht="16.5" customHeight="1">
      <c r="A13" s="64" t="s">
        <v>59</v>
      </c>
      <c r="B13" s="65"/>
      <c r="C13" s="66"/>
      <c r="D13" s="67" t="s">
        <v>19</v>
      </c>
      <c r="E13" s="70" t="s">
        <v>97</v>
      </c>
      <c r="F13" s="62"/>
      <c r="H13" s="23"/>
      <c r="I13" s="28"/>
      <c r="J13" s="23"/>
    </row>
    <row r="14" spans="1:10" s="22" customFormat="1" ht="16.5" customHeight="1">
      <c r="A14" s="64" t="s">
        <v>88</v>
      </c>
      <c r="B14" s="65"/>
      <c r="C14" s="66"/>
      <c r="D14" s="67"/>
      <c r="E14" s="62">
        <v>28750</v>
      </c>
      <c r="F14" s="62"/>
      <c r="H14" s="23"/>
      <c r="J14" s="23"/>
    </row>
    <row r="15" spans="1:10" s="22" customFormat="1" ht="16.5" customHeight="1">
      <c r="A15" s="64" t="s">
        <v>89</v>
      </c>
      <c r="B15" s="65"/>
      <c r="C15" s="66"/>
      <c r="D15" s="67" t="s">
        <v>20</v>
      </c>
      <c r="E15" s="62">
        <v>63719.17</v>
      </c>
      <c r="F15" s="62"/>
      <c r="H15" s="23"/>
      <c r="J15" s="23"/>
    </row>
    <row r="16" spans="1:10" s="22" customFormat="1" ht="16.5" customHeight="1">
      <c r="A16" s="64" t="s">
        <v>60</v>
      </c>
      <c r="B16" s="65"/>
      <c r="C16" s="66"/>
      <c r="D16" s="67" t="s">
        <v>41</v>
      </c>
      <c r="E16" s="62">
        <v>9000</v>
      </c>
      <c r="F16" s="62"/>
      <c r="H16" s="23"/>
      <c r="J16" s="23"/>
    </row>
    <row r="17" spans="1:10" s="22" customFormat="1" ht="16.5" customHeight="1">
      <c r="A17" s="64" t="s">
        <v>94</v>
      </c>
      <c r="B17" s="65"/>
      <c r="C17" s="66"/>
      <c r="D17" s="67" t="s">
        <v>30</v>
      </c>
      <c r="E17" s="62">
        <v>607500</v>
      </c>
      <c r="F17" s="62"/>
      <c r="H17" s="23">
        <f>SUM(E5:E13)</f>
        <v>28089252.419999998</v>
      </c>
      <c r="J17" s="23"/>
    </row>
    <row r="18" spans="1:10" s="22" customFormat="1" ht="16.5" customHeight="1">
      <c r="A18" s="64" t="s">
        <v>93</v>
      </c>
      <c r="B18" s="65"/>
      <c r="C18" s="66"/>
      <c r="D18" s="67" t="s">
        <v>42</v>
      </c>
      <c r="E18" s="62">
        <v>24000</v>
      </c>
      <c r="F18" s="62"/>
      <c r="H18" s="23"/>
      <c r="J18" s="23"/>
    </row>
    <row r="19" spans="1:10" s="22" customFormat="1" ht="16.5" customHeight="1">
      <c r="A19" s="64" t="s">
        <v>36</v>
      </c>
      <c r="B19" s="65"/>
      <c r="C19" s="66"/>
      <c r="D19" s="67" t="s">
        <v>43</v>
      </c>
      <c r="E19" s="62"/>
      <c r="F19" s="62">
        <v>15455882.48</v>
      </c>
      <c r="H19" s="23"/>
      <c r="J19" s="23"/>
    </row>
    <row r="20" spans="1:10" s="22" customFormat="1" ht="16.5" customHeight="1">
      <c r="A20" s="64" t="s">
        <v>62</v>
      </c>
      <c r="B20" s="65"/>
      <c r="C20" s="66"/>
      <c r="D20" s="67" t="s">
        <v>44</v>
      </c>
      <c r="E20" s="62"/>
      <c r="F20" s="62">
        <v>489388.95</v>
      </c>
      <c r="H20" s="23"/>
      <c r="J20" s="23"/>
    </row>
    <row r="21" spans="1:10" s="22" customFormat="1" ht="16.5" customHeight="1">
      <c r="A21" s="64" t="s">
        <v>37</v>
      </c>
      <c r="B21" s="65"/>
      <c r="C21" s="66"/>
      <c r="D21" s="67" t="s">
        <v>45</v>
      </c>
      <c r="E21" s="62"/>
      <c r="F21" s="62">
        <v>9000</v>
      </c>
      <c r="H21" s="23"/>
      <c r="J21" s="23"/>
    </row>
    <row r="22" spans="1:10" s="22" customFormat="1" ht="16.5" customHeight="1">
      <c r="A22" s="64" t="s">
        <v>15</v>
      </c>
      <c r="B22" s="65"/>
      <c r="C22" s="66"/>
      <c r="D22" s="67"/>
      <c r="E22" s="62"/>
      <c r="F22" s="62">
        <v>2074547.78</v>
      </c>
      <c r="H22" s="23"/>
      <c r="J22" s="23"/>
    </row>
    <row r="23" spans="1:10" s="22" customFormat="1" ht="16.5" customHeight="1">
      <c r="A23" s="64" t="s">
        <v>90</v>
      </c>
      <c r="B23" s="65"/>
      <c r="C23" s="66"/>
      <c r="D23" s="67"/>
      <c r="E23" s="62"/>
      <c r="F23" s="62">
        <v>540910</v>
      </c>
      <c r="H23" s="23"/>
      <c r="J23" s="23"/>
    </row>
    <row r="24" spans="1:10" s="22" customFormat="1" ht="16.5" customHeight="1">
      <c r="A24" s="64" t="s">
        <v>95</v>
      </c>
      <c r="B24" s="65"/>
      <c r="C24" s="66"/>
      <c r="D24" s="67" t="s">
        <v>46</v>
      </c>
      <c r="E24" s="62"/>
      <c r="F24" s="62">
        <v>24000</v>
      </c>
      <c r="H24" s="23"/>
      <c r="J24" s="23"/>
    </row>
    <row r="25" spans="1:10" s="22" customFormat="1" ht="16.5" customHeight="1">
      <c r="A25" s="64" t="s">
        <v>39</v>
      </c>
      <c r="B25" s="65"/>
      <c r="C25" s="66"/>
      <c r="D25" s="67" t="s">
        <v>29</v>
      </c>
      <c r="E25" s="62"/>
      <c r="F25" s="62">
        <v>6679157.31</v>
      </c>
      <c r="H25" s="23"/>
      <c r="J25" s="23"/>
    </row>
    <row r="26" spans="1:10" s="22" customFormat="1" ht="16.5" customHeight="1">
      <c r="A26" s="64" t="s">
        <v>40</v>
      </c>
      <c r="B26" s="65"/>
      <c r="C26" s="66"/>
      <c r="D26" s="67" t="s">
        <v>31</v>
      </c>
      <c r="E26" s="62"/>
      <c r="F26" s="62">
        <v>12097243.59</v>
      </c>
      <c r="H26" s="23"/>
      <c r="J26" s="23"/>
    </row>
    <row r="27" spans="1:10" s="22" customFormat="1" ht="16.5" customHeight="1">
      <c r="A27" s="64" t="s">
        <v>99</v>
      </c>
      <c r="B27" s="65"/>
      <c r="C27" s="66"/>
      <c r="D27" s="67" t="s">
        <v>47</v>
      </c>
      <c r="E27" s="62"/>
      <c r="F27" s="62"/>
      <c r="H27" s="23"/>
      <c r="J27" s="23"/>
    </row>
    <row r="28" spans="1:10" s="22" customFormat="1" ht="16.5" customHeight="1">
      <c r="A28" s="64" t="s">
        <v>14</v>
      </c>
      <c r="B28" s="65"/>
      <c r="C28" s="66"/>
      <c r="D28" s="67" t="s">
        <v>74</v>
      </c>
      <c r="E28" s="62">
        <v>2256692</v>
      </c>
      <c r="F28" s="62"/>
      <c r="H28" s="23"/>
      <c r="J28" s="23"/>
    </row>
    <row r="29" spans="1:10" s="22" customFormat="1" ht="16.5" customHeight="1">
      <c r="A29" s="64" t="s">
        <v>78</v>
      </c>
      <c r="B29" s="65"/>
      <c r="C29" s="66"/>
      <c r="D29" s="67" t="s">
        <v>48</v>
      </c>
      <c r="E29" s="62">
        <v>843336</v>
      </c>
      <c r="F29" s="62"/>
      <c r="H29" s="23"/>
      <c r="J29" s="23"/>
    </row>
    <row r="30" spans="1:10" s="22" customFormat="1" ht="16.5" customHeight="1">
      <c r="A30" s="64" t="s">
        <v>79</v>
      </c>
      <c r="B30" s="65"/>
      <c r="C30" s="66"/>
      <c r="D30" s="67" t="s">
        <v>21</v>
      </c>
      <c r="E30" s="62">
        <v>2289314</v>
      </c>
      <c r="F30" s="62"/>
      <c r="H30" s="23"/>
      <c r="J30" s="23"/>
    </row>
    <row r="31" spans="1:10" s="22" customFormat="1" ht="16.5" customHeight="1">
      <c r="A31" s="64" t="s">
        <v>71</v>
      </c>
      <c r="B31" s="65"/>
      <c r="C31" s="66"/>
      <c r="D31" s="67" t="s">
        <v>75</v>
      </c>
      <c r="E31" s="70" t="s">
        <v>97</v>
      </c>
      <c r="F31" s="62"/>
      <c r="H31" s="23"/>
      <c r="J31" s="23"/>
    </row>
    <row r="32" spans="1:10" s="22" customFormat="1" ht="16.5" customHeight="1">
      <c r="A32" s="64" t="s">
        <v>7</v>
      </c>
      <c r="B32" s="65"/>
      <c r="C32" s="66"/>
      <c r="D32" s="67" t="s">
        <v>22</v>
      </c>
      <c r="E32" s="62">
        <v>82715.25</v>
      </c>
      <c r="F32" s="62"/>
      <c r="H32" s="23"/>
      <c r="J32" s="23"/>
    </row>
    <row r="33" spans="1:10" s="22" customFormat="1" ht="16.5" customHeight="1">
      <c r="A33" s="64" t="s">
        <v>8</v>
      </c>
      <c r="B33" s="65"/>
      <c r="C33" s="66"/>
      <c r="D33" s="67" t="s">
        <v>23</v>
      </c>
      <c r="E33" s="62">
        <v>711702.76</v>
      </c>
      <c r="F33" s="62"/>
      <c r="H33" s="23">
        <f>SUM(E28:E42)</f>
        <v>8547908.52</v>
      </c>
      <c r="J33" s="23"/>
    </row>
    <row r="34" spans="1:10" s="22" customFormat="1" ht="16.5" customHeight="1">
      <c r="A34" s="64" t="s">
        <v>72</v>
      </c>
      <c r="B34" s="65"/>
      <c r="C34" s="66"/>
      <c r="D34" s="67" t="s">
        <v>76</v>
      </c>
      <c r="E34" s="70" t="s">
        <v>97</v>
      </c>
      <c r="F34" s="62"/>
      <c r="H34" s="23"/>
      <c r="J34" s="23"/>
    </row>
    <row r="35" spans="1:10" s="22" customFormat="1" ht="16.5" customHeight="1">
      <c r="A35" s="64" t="s">
        <v>9</v>
      </c>
      <c r="B35" s="65"/>
      <c r="C35" s="66"/>
      <c r="D35" s="67" t="s">
        <v>24</v>
      </c>
      <c r="E35" s="62">
        <v>485986</v>
      </c>
      <c r="F35" s="62"/>
      <c r="H35" s="23"/>
      <c r="J35" s="23"/>
    </row>
    <row r="36" spans="1:10" s="22" customFormat="1" ht="16.5" customHeight="1">
      <c r="A36" s="64" t="s">
        <v>73</v>
      </c>
      <c r="B36" s="65"/>
      <c r="C36" s="66"/>
      <c r="D36" s="67" t="s">
        <v>77</v>
      </c>
      <c r="E36" s="70" t="s">
        <v>97</v>
      </c>
      <c r="F36" s="62"/>
      <c r="H36" s="23"/>
      <c r="J36" s="23"/>
    </row>
    <row r="37" spans="1:10" s="22" customFormat="1" ht="16.5" customHeight="1">
      <c r="A37" s="64" t="s">
        <v>10</v>
      </c>
      <c r="B37" s="65"/>
      <c r="C37" s="66"/>
      <c r="D37" s="67" t="s">
        <v>25</v>
      </c>
      <c r="E37" s="62">
        <v>107762.51</v>
      </c>
      <c r="F37" s="62"/>
      <c r="H37" s="23"/>
      <c r="J37" s="23"/>
    </row>
    <row r="38" spans="1:10" s="22" customFormat="1" ht="16.5" customHeight="1">
      <c r="A38" s="64" t="s">
        <v>12</v>
      </c>
      <c r="B38" s="65"/>
      <c r="C38" s="66"/>
      <c r="D38" s="67" t="s">
        <v>27</v>
      </c>
      <c r="E38" s="62">
        <v>87400</v>
      </c>
      <c r="F38" s="62"/>
      <c r="H38" s="23"/>
      <c r="J38" s="23"/>
    </row>
    <row r="39" spans="1:10" s="22" customFormat="1" ht="16.5" customHeight="1">
      <c r="A39" s="64" t="s">
        <v>13</v>
      </c>
      <c r="B39" s="65"/>
      <c r="C39" s="66"/>
      <c r="D39" s="67" t="s">
        <v>28</v>
      </c>
      <c r="E39" s="62">
        <v>326000</v>
      </c>
      <c r="F39" s="62"/>
      <c r="H39" s="23"/>
      <c r="J39" s="23"/>
    </row>
    <row r="40" spans="1:10" s="22" customFormat="1" ht="16.5" customHeight="1">
      <c r="A40" s="64" t="s">
        <v>84</v>
      </c>
      <c r="B40" s="65"/>
      <c r="C40" s="66"/>
      <c r="D40" s="67" t="s">
        <v>26</v>
      </c>
      <c r="E40" s="62"/>
      <c r="F40" s="62"/>
      <c r="H40" s="23"/>
      <c r="J40" s="23"/>
    </row>
    <row r="41" spans="1:10" s="22" customFormat="1" ht="16.5" customHeight="1">
      <c r="A41" s="64" t="s">
        <v>11</v>
      </c>
      <c r="B41" s="65"/>
      <c r="C41" s="66"/>
      <c r="D41" s="67"/>
      <c r="E41" s="62">
        <v>1327000</v>
      </c>
      <c r="F41" s="62"/>
      <c r="H41" s="23"/>
      <c r="J41" s="23"/>
    </row>
    <row r="42" spans="1:10" s="22" customFormat="1" ht="16.5" customHeight="1">
      <c r="A42" s="71" t="s">
        <v>98</v>
      </c>
      <c r="B42" s="72"/>
      <c r="C42" s="73"/>
      <c r="D42" s="67"/>
      <c r="E42" s="62">
        <v>30000</v>
      </c>
      <c r="F42" s="62"/>
      <c r="H42" s="23"/>
      <c r="J42" s="23"/>
    </row>
    <row r="43" spans="1:10" s="22" customFormat="1" ht="18.75" customHeight="1" thickBot="1">
      <c r="A43" s="122" t="s">
        <v>16</v>
      </c>
      <c r="B43" s="123"/>
      <c r="C43" s="124"/>
      <c r="D43" s="46"/>
      <c r="E43" s="79">
        <f>SUM(E5:E42)</f>
        <v>37370130.11</v>
      </c>
      <c r="F43" s="79">
        <f>SUM(F5:F42)</f>
        <v>37370130.11</v>
      </c>
      <c r="G43" s="28">
        <f>E43-F43</f>
        <v>0</v>
      </c>
      <c r="H43" s="23"/>
      <c r="J43" s="23"/>
    </row>
    <row r="44" spans="1:16" s="7" customFormat="1" ht="16.5" customHeight="1" thickTop="1">
      <c r="A44" s="48"/>
      <c r="B44" s="48"/>
      <c r="C44" s="48"/>
      <c r="D44" s="49"/>
      <c r="E44" s="50"/>
      <c r="F44" s="50"/>
      <c r="G44" s="10"/>
      <c r="H44" s="6"/>
      <c r="I44" s="4"/>
      <c r="J44" s="6"/>
      <c r="K44" s="4"/>
      <c r="L44" s="4"/>
      <c r="M44" s="4"/>
      <c r="N44" s="4"/>
      <c r="O44" s="4"/>
      <c r="P44" s="4"/>
    </row>
    <row r="45" spans="1:16" s="7" customFormat="1" ht="21" customHeight="1">
      <c r="A45" s="51" t="s">
        <v>33</v>
      </c>
      <c r="B45" s="51"/>
      <c r="C45" s="51" t="s">
        <v>34</v>
      </c>
      <c r="D45" s="51"/>
      <c r="E45" s="51" t="s">
        <v>35</v>
      </c>
      <c r="F45" s="51"/>
      <c r="G45" s="4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18" customHeight="1">
      <c r="A46" s="113" t="s">
        <v>64</v>
      </c>
      <c r="B46" s="113"/>
      <c r="C46" s="113" t="s">
        <v>103</v>
      </c>
      <c r="D46" s="113"/>
      <c r="E46" s="115" t="s">
        <v>66</v>
      </c>
      <c r="F46" s="115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13" t="s">
        <v>32</v>
      </c>
      <c r="B47" s="113"/>
      <c r="C47" s="121" t="s">
        <v>104</v>
      </c>
      <c r="D47" s="121"/>
      <c r="E47" s="114" t="s">
        <v>67</v>
      </c>
      <c r="F47" s="114"/>
      <c r="G47" s="4"/>
      <c r="H47" s="6"/>
      <c r="I47" s="4"/>
      <c r="J47" s="6"/>
      <c r="K47" s="4"/>
      <c r="L47" s="4"/>
      <c r="M47" s="4"/>
      <c r="N47" s="4"/>
      <c r="O47" s="4"/>
      <c r="P47" s="4"/>
    </row>
    <row r="48" spans="1:6" ht="21">
      <c r="A48" s="52"/>
      <c r="B48" s="52"/>
      <c r="C48" s="52"/>
      <c r="D48" s="52"/>
      <c r="E48" s="53"/>
      <c r="F48" s="53"/>
    </row>
  </sheetData>
  <sheetProtection/>
  <mergeCells count="11">
    <mergeCell ref="C46:D46"/>
    <mergeCell ref="E46:F46"/>
    <mergeCell ref="A47:B47"/>
    <mergeCell ref="C47:D47"/>
    <mergeCell ref="E47:F47"/>
    <mergeCell ref="A1:F1"/>
    <mergeCell ref="A2:F2"/>
    <mergeCell ref="A3:F3"/>
    <mergeCell ref="A4:C4"/>
    <mergeCell ref="A43:C43"/>
    <mergeCell ref="A46:B46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37">
      <selection activeCell="A45" sqref="A45:F49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9.00390625" style="1" customWidth="1"/>
    <col min="9" max="9" width="19.421875" style="0" customWidth="1"/>
    <col min="10" max="10" width="17.57421875" style="2" bestFit="1" customWidth="1"/>
  </cols>
  <sheetData>
    <row r="1" spans="1:16" s="7" customFormat="1" ht="19.5" customHeight="1">
      <c r="A1" s="125" t="s">
        <v>51</v>
      </c>
      <c r="B1" s="125"/>
      <c r="C1" s="125"/>
      <c r="D1" s="125"/>
      <c r="E1" s="125"/>
      <c r="F1" s="125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25" t="s">
        <v>83</v>
      </c>
      <c r="B2" s="125"/>
      <c r="C2" s="125"/>
      <c r="D2" s="125"/>
      <c r="E2" s="125"/>
      <c r="F2" s="125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26" t="s">
        <v>105</v>
      </c>
      <c r="B3" s="126"/>
      <c r="C3" s="126"/>
      <c r="D3" s="126"/>
      <c r="E3" s="126"/>
      <c r="F3" s="126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10" t="s">
        <v>1</v>
      </c>
      <c r="B4" s="111"/>
      <c r="C4" s="112"/>
      <c r="D4" s="34" t="s">
        <v>2</v>
      </c>
      <c r="E4" s="35" t="s">
        <v>3</v>
      </c>
      <c r="F4" s="35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58" t="s">
        <v>5</v>
      </c>
      <c r="B5" s="59"/>
      <c r="C5" s="60"/>
      <c r="D5" s="61" t="s">
        <v>17</v>
      </c>
      <c r="E5" s="70" t="s">
        <v>97</v>
      </c>
      <c r="F5" s="63"/>
      <c r="H5" s="23"/>
      <c r="J5" s="23"/>
    </row>
    <row r="6" spans="1:10" s="22" customFormat="1" ht="16.5" customHeight="1">
      <c r="A6" s="64" t="s">
        <v>52</v>
      </c>
      <c r="B6" s="65"/>
      <c r="C6" s="66"/>
      <c r="D6" s="67" t="s">
        <v>18</v>
      </c>
      <c r="E6" s="62">
        <v>13556466.48</v>
      </c>
      <c r="F6" s="62"/>
      <c r="H6" s="23"/>
      <c r="J6" s="23"/>
    </row>
    <row r="7" spans="1:10" s="22" customFormat="1" ht="16.5" customHeight="1">
      <c r="A7" s="64" t="s">
        <v>53</v>
      </c>
      <c r="B7" s="65"/>
      <c r="C7" s="66"/>
      <c r="D7" s="67" t="s">
        <v>18</v>
      </c>
      <c r="E7" s="62">
        <v>127795.45</v>
      </c>
      <c r="F7" s="62"/>
      <c r="H7" s="23"/>
      <c r="J7" s="23"/>
    </row>
    <row r="8" spans="1:10" s="22" customFormat="1" ht="16.5" customHeight="1">
      <c r="A8" s="64" t="s">
        <v>54</v>
      </c>
      <c r="B8" s="65"/>
      <c r="C8" s="66"/>
      <c r="D8" s="67" t="s">
        <v>18</v>
      </c>
      <c r="E8" s="62">
        <v>1031677.48</v>
      </c>
      <c r="F8" s="62"/>
      <c r="H8" s="23"/>
      <c r="J8" s="23"/>
    </row>
    <row r="9" spans="1:10" s="22" customFormat="1" ht="16.5" customHeight="1">
      <c r="A9" s="64" t="s">
        <v>55</v>
      </c>
      <c r="B9" s="65"/>
      <c r="C9" s="66"/>
      <c r="D9" s="67" t="s">
        <v>18</v>
      </c>
      <c r="E9" s="62">
        <v>13862.5</v>
      </c>
      <c r="F9" s="62"/>
      <c r="H9" s="23"/>
      <c r="J9" s="23"/>
    </row>
    <row r="10" spans="1:10" s="22" customFormat="1" ht="16.5" customHeight="1">
      <c r="A10" s="64" t="s">
        <v>56</v>
      </c>
      <c r="B10" s="65"/>
      <c r="C10" s="66"/>
      <c r="D10" s="67" t="s">
        <v>18</v>
      </c>
      <c r="E10" s="62">
        <v>12503.24</v>
      </c>
      <c r="F10" s="62"/>
      <c r="G10" s="28"/>
      <c r="H10" s="23"/>
      <c r="I10" s="28"/>
      <c r="J10" s="23"/>
    </row>
    <row r="11" spans="1:10" s="22" customFormat="1" ht="16.5" customHeight="1">
      <c r="A11" s="64" t="s">
        <v>57</v>
      </c>
      <c r="B11" s="65"/>
      <c r="C11" s="66"/>
      <c r="D11" s="67" t="s">
        <v>18</v>
      </c>
      <c r="E11" s="62">
        <v>12519027.04</v>
      </c>
      <c r="F11" s="62"/>
      <c r="G11" s="28"/>
      <c r="H11" s="23"/>
      <c r="I11" s="28"/>
      <c r="J11" s="23"/>
    </row>
    <row r="12" spans="1:10" s="22" customFormat="1" ht="16.5" customHeight="1">
      <c r="A12" s="74" t="s">
        <v>58</v>
      </c>
      <c r="B12" s="65"/>
      <c r="C12" s="66"/>
      <c r="D12" s="67" t="s">
        <v>19</v>
      </c>
      <c r="E12" s="70">
        <v>676529.05</v>
      </c>
      <c r="F12" s="62"/>
      <c r="G12" s="28"/>
      <c r="H12" s="23"/>
      <c r="J12" s="23"/>
    </row>
    <row r="13" spans="1:10" s="22" customFormat="1" ht="16.5" customHeight="1">
      <c r="A13" s="64" t="s">
        <v>59</v>
      </c>
      <c r="B13" s="65"/>
      <c r="C13" s="66"/>
      <c r="D13" s="67" t="s">
        <v>19</v>
      </c>
      <c r="E13" s="70" t="s">
        <v>97</v>
      </c>
      <c r="F13" s="62"/>
      <c r="H13" s="23"/>
      <c r="I13" s="28"/>
      <c r="J13" s="23"/>
    </row>
    <row r="14" spans="1:10" s="22" customFormat="1" ht="16.5" customHeight="1">
      <c r="A14" s="64" t="s">
        <v>88</v>
      </c>
      <c r="B14" s="65"/>
      <c r="C14" s="66"/>
      <c r="D14" s="67"/>
      <c r="E14" s="62">
        <v>28750</v>
      </c>
      <c r="F14" s="62"/>
      <c r="H14" s="23"/>
      <c r="J14" s="23"/>
    </row>
    <row r="15" spans="1:10" s="22" customFormat="1" ht="16.5" customHeight="1">
      <c r="A15" s="64" t="s">
        <v>89</v>
      </c>
      <c r="B15" s="65"/>
      <c r="C15" s="66"/>
      <c r="D15" s="67" t="s">
        <v>20</v>
      </c>
      <c r="E15" s="62">
        <v>63719.17</v>
      </c>
      <c r="F15" s="62"/>
      <c r="H15" s="23"/>
      <c r="J15" s="23"/>
    </row>
    <row r="16" spans="1:10" s="22" customFormat="1" ht="16.5" customHeight="1">
      <c r="A16" s="64" t="s">
        <v>60</v>
      </c>
      <c r="B16" s="65"/>
      <c r="C16" s="66"/>
      <c r="D16" s="67" t="s">
        <v>41</v>
      </c>
      <c r="E16" s="62">
        <v>16000</v>
      </c>
      <c r="F16" s="62"/>
      <c r="H16" s="23"/>
      <c r="J16" s="23"/>
    </row>
    <row r="17" spans="1:10" s="22" customFormat="1" ht="16.5" customHeight="1">
      <c r="A17" s="64" t="s">
        <v>94</v>
      </c>
      <c r="B17" s="65"/>
      <c r="C17" s="66"/>
      <c r="D17" s="67" t="s">
        <v>30</v>
      </c>
      <c r="E17" s="62">
        <v>606100</v>
      </c>
      <c r="F17" s="62"/>
      <c r="H17" s="23"/>
      <c r="J17" s="23"/>
    </row>
    <row r="18" spans="1:10" s="22" customFormat="1" ht="16.5" customHeight="1">
      <c r="A18" s="64" t="s">
        <v>93</v>
      </c>
      <c r="B18" s="65"/>
      <c r="C18" s="66"/>
      <c r="D18" s="67" t="s">
        <v>42</v>
      </c>
      <c r="E18" s="62">
        <v>24000</v>
      </c>
      <c r="F18" s="62"/>
      <c r="G18" s="86"/>
      <c r="H18" s="87"/>
      <c r="I18" s="87"/>
      <c r="J18" s="86"/>
    </row>
    <row r="19" spans="1:10" s="22" customFormat="1" ht="16.5" customHeight="1">
      <c r="A19" s="64" t="s">
        <v>36</v>
      </c>
      <c r="B19" s="65"/>
      <c r="C19" s="66"/>
      <c r="D19" s="67" t="s">
        <v>43</v>
      </c>
      <c r="E19" s="62"/>
      <c r="F19" s="62">
        <v>17703344.99</v>
      </c>
      <c r="G19" s="86"/>
      <c r="H19" s="88"/>
      <c r="I19" s="87"/>
      <c r="J19" s="86"/>
    </row>
    <row r="20" spans="1:10" s="22" customFormat="1" ht="16.5" customHeight="1">
      <c r="A20" s="64" t="s">
        <v>62</v>
      </c>
      <c r="B20" s="65"/>
      <c r="C20" s="66"/>
      <c r="D20" s="67" t="s">
        <v>44</v>
      </c>
      <c r="E20" s="62"/>
      <c r="F20" s="62">
        <v>489388.95</v>
      </c>
      <c r="G20" s="86"/>
      <c r="H20" s="86"/>
      <c r="I20" s="87"/>
      <c r="J20" s="86"/>
    </row>
    <row r="21" spans="1:10" s="22" customFormat="1" ht="16.5" customHeight="1">
      <c r="A21" s="64" t="s">
        <v>37</v>
      </c>
      <c r="B21" s="65"/>
      <c r="C21" s="66"/>
      <c r="D21" s="67" t="s">
        <v>45</v>
      </c>
      <c r="E21" s="62"/>
      <c r="F21" s="62">
        <v>9000</v>
      </c>
      <c r="G21" s="86"/>
      <c r="H21" s="86"/>
      <c r="I21" s="89"/>
      <c r="J21" s="86"/>
    </row>
    <row r="22" spans="1:10" s="22" customFormat="1" ht="16.5" customHeight="1">
      <c r="A22" s="64" t="s">
        <v>15</v>
      </c>
      <c r="B22" s="65"/>
      <c r="C22" s="66"/>
      <c r="D22" s="67"/>
      <c r="E22" s="62"/>
      <c r="F22" s="62">
        <v>2165981.86</v>
      </c>
      <c r="G22" s="90"/>
      <c r="H22" s="86"/>
      <c r="I22" s="87"/>
      <c r="J22" s="86"/>
    </row>
    <row r="23" spans="1:10" s="22" customFormat="1" ht="16.5" customHeight="1">
      <c r="A23" s="64" t="s">
        <v>90</v>
      </c>
      <c r="B23" s="65"/>
      <c r="C23" s="66"/>
      <c r="D23" s="67"/>
      <c r="E23" s="62"/>
      <c r="F23" s="62">
        <v>540910</v>
      </c>
      <c r="G23" s="25"/>
      <c r="H23" s="86"/>
      <c r="I23" s="87"/>
      <c r="J23" s="86"/>
    </row>
    <row r="24" spans="1:10" s="22" customFormat="1" ht="16.5" customHeight="1">
      <c r="A24" s="64" t="s">
        <v>95</v>
      </c>
      <c r="B24" s="65"/>
      <c r="C24" s="66"/>
      <c r="D24" s="67" t="s">
        <v>46</v>
      </c>
      <c r="E24" s="62"/>
      <c r="F24" s="62">
        <v>24000</v>
      </c>
      <c r="G24" s="25"/>
      <c r="H24" s="86"/>
      <c r="I24" s="89"/>
      <c r="J24" s="86"/>
    </row>
    <row r="25" spans="1:10" s="22" customFormat="1" ht="16.5" customHeight="1">
      <c r="A25" s="64" t="s">
        <v>39</v>
      </c>
      <c r="B25" s="65"/>
      <c r="C25" s="66"/>
      <c r="D25" s="67" t="s">
        <v>29</v>
      </c>
      <c r="E25" s="62"/>
      <c r="F25" s="62">
        <v>6097605.31</v>
      </c>
      <c r="G25" s="25"/>
      <c r="H25" s="86"/>
      <c r="I25" s="87"/>
      <c r="J25" s="86"/>
    </row>
    <row r="26" spans="1:10" s="22" customFormat="1" ht="16.5" customHeight="1">
      <c r="A26" s="64" t="s">
        <v>40</v>
      </c>
      <c r="B26" s="65"/>
      <c r="C26" s="66"/>
      <c r="D26" s="67" t="s">
        <v>31</v>
      </c>
      <c r="E26" s="62"/>
      <c r="F26" s="62">
        <v>12097243.59</v>
      </c>
      <c r="G26" s="25"/>
      <c r="H26" s="86"/>
      <c r="I26" s="89"/>
      <c r="J26" s="86"/>
    </row>
    <row r="27" spans="1:10" s="22" customFormat="1" ht="16.5" customHeight="1">
      <c r="A27" s="64" t="s">
        <v>99</v>
      </c>
      <c r="B27" s="65"/>
      <c r="C27" s="66"/>
      <c r="D27" s="67" t="s">
        <v>47</v>
      </c>
      <c r="E27" s="62"/>
      <c r="F27" s="62"/>
      <c r="G27" s="25"/>
      <c r="H27" s="86"/>
      <c r="I27" s="87"/>
      <c r="J27" s="86"/>
    </row>
    <row r="28" spans="1:10" s="22" customFormat="1" ht="16.5" customHeight="1">
      <c r="A28" s="64" t="s">
        <v>14</v>
      </c>
      <c r="B28" s="65"/>
      <c r="C28" s="66"/>
      <c r="D28" s="67" t="s">
        <v>74</v>
      </c>
      <c r="E28" s="62">
        <v>3249487</v>
      </c>
      <c r="F28" s="62"/>
      <c r="G28" s="25"/>
      <c r="H28" s="86"/>
      <c r="I28" s="87"/>
      <c r="J28" s="86"/>
    </row>
    <row r="29" spans="1:10" s="22" customFormat="1" ht="16.5" customHeight="1">
      <c r="A29" s="64" t="s">
        <v>78</v>
      </c>
      <c r="B29" s="65"/>
      <c r="C29" s="66"/>
      <c r="D29" s="67" t="s">
        <v>48</v>
      </c>
      <c r="E29" s="62">
        <v>1046538</v>
      </c>
      <c r="F29" s="62"/>
      <c r="G29" s="25"/>
      <c r="H29" s="86"/>
      <c r="I29" s="87"/>
      <c r="J29" s="86"/>
    </row>
    <row r="30" spans="1:10" s="22" customFormat="1" ht="16.5" customHeight="1">
      <c r="A30" s="64" t="s">
        <v>79</v>
      </c>
      <c r="B30" s="65"/>
      <c r="C30" s="66"/>
      <c r="D30" s="67" t="s">
        <v>21</v>
      </c>
      <c r="E30" s="62">
        <v>2788324</v>
      </c>
      <c r="F30" s="62"/>
      <c r="G30" s="25"/>
      <c r="H30" s="86"/>
      <c r="I30" s="87"/>
      <c r="J30" s="86"/>
    </row>
    <row r="31" spans="1:10" s="22" customFormat="1" ht="16.5" customHeight="1">
      <c r="A31" s="64" t="s">
        <v>71</v>
      </c>
      <c r="B31" s="65"/>
      <c r="C31" s="66"/>
      <c r="D31" s="67" t="s">
        <v>75</v>
      </c>
      <c r="E31" s="70" t="s">
        <v>97</v>
      </c>
      <c r="F31" s="62"/>
      <c r="G31" s="25"/>
      <c r="H31" s="86"/>
      <c r="I31" s="87"/>
      <c r="J31" s="86"/>
    </row>
    <row r="32" spans="1:10" s="22" customFormat="1" ht="16.5" customHeight="1">
      <c r="A32" s="64" t="s">
        <v>7</v>
      </c>
      <c r="B32" s="65"/>
      <c r="C32" s="66"/>
      <c r="D32" s="67" t="s">
        <v>22</v>
      </c>
      <c r="E32" s="62">
        <v>98015.25</v>
      </c>
      <c r="F32" s="62"/>
      <c r="G32" s="25"/>
      <c r="H32" s="86"/>
      <c r="I32" s="87"/>
      <c r="J32" s="86"/>
    </row>
    <row r="33" spans="1:10" s="22" customFormat="1" ht="16.5" customHeight="1">
      <c r="A33" s="64" t="s">
        <v>8</v>
      </c>
      <c r="B33" s="65"/>
      <c r="C33" s="66"/>
      <c r="D33" s="67" t="s">
        <v>23</v>
      </c>
      <c r="E33" s="62">
        <v>871834.76</v>
      </c>
      <c r="F33" s="62"/>
      <c r="G33" s="25"/>
      <c r="H33" s="86"/>
      <c r="I33" s="90"/>
      <c r="J33" s="86"/>
    </row>
    <row r="34" spans="1:10" s="22" customFormat="1" ht="16.5" customHeight="1">
      <c r="A34" s="64" t="s">
        <v>72</v>
      </c>
      <c r="B34" s="65"/>
      <c r="C34" s="66"/>
      <c r="D34" s="67" t="s">
        <v>76</v>
      </c>
      <c r="E34" s="70" t="s">
        <v>97</v>
      </c>
      <c r="F34" s="85"/>
      <c r="G34" s="25"/>
      <c r="H34" s="86"/>
      <c r="I34" s="25"/>
      <c r="J34" s="86"/>
    </row>
    <row r="35" spans="1:10" s="22" customFormat="1" ht="16.5" customHeight="1">
      <c r="A35" s="64" t="s">
        <v>9</v>
      </c>
      <c r="B35" s="65"/>
      <c r="C35" s="66"/>
      <c r="D35" s="67" t="s">
        <v>24</v>
      </c>
      <c r="E35" s="62">
        <v>485986</v>
      </c>
      <c r="F35" s="85"/>
      <c r="G35" s="25"/>
      <c r="H35" s="86"/>
      <c r="I35" s="25"/>
      <c r="J35" s="86"/>
    </row>
    <row r="36" spans="1:10" s="22" customFormat="1" ht="16.5" customHeight="1">
      <c r="A36" s="64" t="s">
        <v>73</v>
      </c>
      <c r="B36" s="65"/>
      <c r="C36" s="66"/>
      <c r="D36" s="67" t="s">
        <v>77</v>
      </c>
      <c r="E36" s="70" t="s">
        <v>97</v>
      </c>
      <c r="F36" s="62"/>
      <c r="H36" s="23"/>
      <c r="J36" s="23"/>
    </row>
    <row r="37" spans="1:10" s="22" customFormat="1" ht="16.5" customHeight="1">
      <c r="A37" s="64" t="s">
        <v>10</v>
      </c>
      <c r="B37" s="65"/>
      <c r="C37" s="66"/>
      <c r="D37" s="67" t="s">
        <v>25</v>
      </c>
      <c r="E37" s="62">
        <v>140459.28</v>
      </c>
      <c r="F37" s="62"/>
      <c r="H37" s="23"/>
      <c r="J37" s="23"/>
    </row>
    <row r="38" spans="1:10" s="22" customFormat="1" ht="16.5" customHeight="1">
      <c r="A38" s="64" t="s">
        <v>12</v>
      </c>
      <c r="B38" s="65"/>
      <c r="C38" s="66"/>
      <c r="D38" s="67" t="s">
        <v>27</v>
      </c>
      <c r="E38" s="62">
        <v>87400</v>
      </c>
      <c r="F38" s="62"/>
      <c r="H38" s="23"/>
      <c r="J38" s="23"/>
    </row>
    <row r="39" spans="1:10" s="22" customFormat="1" ht="16.5" customHeight="1">
      <c r="A39" s="64" t="s">
        <v>13</v>
      </c>
      <c r="B39" s="65"/>
      <c r="C39" s="66"/>
      <c r="D39" s="67" t="s">
        <v>28</v>
      </c>
      <c r="E39" s="62">
        <v>326000</v>
      </c>
      <c r="F39" s="62"/>
      <c r="H39" s="23"/>
      <c r="J39" s="23"/>
    </row>
    <row r="40" spans="1:10" s="22" customFormat="1" ht="16.5" customHeight="1">
      <c r="A40" s="64" t="s">
        <v>84</v>
      </c>
      <c r="B40" s="65"/>
      <c r="C40" s="66"/>
      <c r="D40" s="67" t="s">
        <v>26</v>
      </c>
      <c r="E40" s="62"/>
      <c r="F40" s="62"/>
      <c r="H40" s="23"/>
      <c r="J40" s="23"/>
    </row>
    <row r="41" spans="1:10" s="22" customFormat="1" ht="16.5" customHeight="1">
      <c r="A41" s="64" t="s">
        <v>11</v>
      </c>
      <c r="B41" s="65"/>
      <c r="C41" s="66"/>
      <c r="D41" s="67"/>
      <c r="E41" s="62">
        <v>1327000</v>
      </c>
      <c r="F41" s="62"/>
      <c r="H41" s="23"/>
      <c r="J41" s="23"/>
    </row>
    <row r="42" spans="1:10" s="22" customFormat="1" ht="16.5" customHeight="1">
      <c r="A42" s="71" t="s">
        <v>98</v>
      </c>
      <c r="B42" s="72"/>
      <c r="C42" s="73"/>
      <c r="D42" s="67"/>
      <c r="E42" s="62">
        <v>30000</v>
      </c>
      <c r="F42" s="62"/>
      <c r="H42" s="23"/>
      <c r="J42" s="23"/>
    </row>
    <row r="43" spans="1:10" s="22" customFormat="1" ht="18.75" customHeight="1" thickBot="1">
      <c r="A43" s="122" t="s">
        <v>16</v>
      </c>
      <c r="B43" s="123"/>
      <c r="C43" s="124"/>
      <c r="D43" s="46"/>
      <c r="E43" s="79">
        <f>SUM(E5:E42)</f>
        <v>39127474.699999996</v>
      </c>
      <c r="F43" s="79">
        <f>SUM(F5:F42)</f>
        <v>39127474.699999996</v>
      </c>
      <c r="G43" s="28">
        <f>E43-F43</f>
        <v>0</v>
      </c>
      <c r="H43" s="23"/>
      <c r="J43" s="23"/>
    </row>
    <row r="44" spans="1:16" s="7" customFormat="1" ht="16.5" customHeight="1" thickTop="1">
      <c r="A44" s="14"/>
      <c r="B44" s="14"/>
      <c r="C44" s="14"/>
      <c r="D44" s="15"/>
      <c r="E44" s="11"/>
      <c r="F44" s="11"/>
      <c r="G44" s="10"/>
      <c r="H44" s="6"/>
      <c r="I44" s="4"/>
      <c r="J44" s="6"/>
      <c r="K44" s="4"/>
      <c r="L44" s="4"/>
      <c r="M44" s="4"/>
      <c r="N44" s="4"/>
      <c r="O44" s="4"/>
      <c r="P44" s="4"/>
    </row>
    <row r="45" spans="1:16" s="7" customFormat="1" ht="21" customHeight="1">
      <c r="A45" s="77" t="s">
        <v>33</v>
      </c>
      <c r="B45" s="77"/>
      <c r="C45" s="77" t="s">
        <v>34</v>
      </c>
      <c r="D45" s="77"/>
      <c r="E45" s="77" t="s">
        <v>35</v>
      </c>
      <c r="F45" s="77"/>
      <c r="G45" s="4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18" customHeight="1">
      <c r="A46" s="117" t="s">
        <v>64</v>
      </c>
      <c r="B46" s="117"/>
      <c r="C46" s="117" t="s">
        <v>106</v>
      </c>
      <c r="D46" s="117"/>
      <c r="E46" s="116" t="s">
        <v>66</v>
      </c>
      <c r="F46" s="116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17" t="s">
        <v>32</v>
      </c>
      <c r="B47" s="117"/>
      <c r="C47" s="117" t="s">
        <v>68</v>
      </c>
      <c r="D47" s="117"/>
      <c r="E47" s="118" t="s">
        <v>67</v>
      </c>
      <c r="F47" s="118"/>
      <c r="G47" s="4"/>
      <c r="H47" s="6"/>
      <c r="I47" s="4"/>
      <c r="J47" s="6"/>
      <c r="K47" s="4"/>
      <c r="L47" s="4"/>
      <c r="M47" s="4"/>
      <c r="N47" s="4"/>
      <c r="O47" s="4"/>
      <c r="P47" s="4"/>
    </row>
  </sheetData>
  <sheetProtection/>
  <mergeCells count="11">
    <mergeCell ref="A47:B47"/>
    <mergeCell ref="C47:D47"/>
    <mergeCell ref="E47:F47"/>
    <mergeCell ref="A1:F1"/>
    <mergeCell ref="A2:F2"/>
    <mergeCell ref="A3:F3"/>
    <mergeCell ref="A4:C4"/>
    <mergeCell ref="A43:C43"/>
    <mergeCell ref="A46:B46"/>
    <mergeCell ref="C46:D46"/>
    <mergeCell ref="E46:F46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32">
      <selection activeCell="H43" sqref="H43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8.00390625" style="1" customWidth="1"/>
    <col min="9" max="9" width="19.421875" style="0" customWidth="1"/>
    <col min="10" max="10" width="14.00390625" style="2" bestFit="1" customWidth="1"/>
  </cols>
  <sheetData>
    <row r="1" spans="1:16" s="7" customFormat="1" ht="19.5" customHeight="1">
      <c r="A1" s="119" t="s">
        <v>51</v>
      </c>
      <c r="B1" s="119"/>
      <c r="C1" s="119"/>
      <c r="D1" s="119"/>
      <c r="E1" s="119"/>
      <c r="F1" s="119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19" t="s">
        <v>83</v>
      </c>
      <c r="B2" s="119"/>
      <c r="C2" s="119"/>
      <c r="D2" s="119"/>
      <c r="E2" s="119"/>
      <c r="F2" s="119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20" t="s">
        <v>107</v>
      </c>
      <c r="B3" s="120"/>
      <c r="C3" s="120"/>
      <c r="D3" s="120"/>
      <c r="E3" s="120"/>
      <c r="F3" s="120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27" t="s">
        <v>1</v>
      </c>
      <c r="B4" s="128"/>
      <c r="C4" s="129"/>
      <c r="D4" s="80" t="s">
        <v>2</v>
      </c>
      <c r="E4" s="81" t="s">
        <v>3</v>
      </c>
      <c r="F4" s="81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58" t="s">
        <v>5</v>
      </c>
      <c r="B5" s="59"/>
      <c r="C5" s="60"/>
      <c r="D5" s="61" t="s">
        <v>17</v>
      </c>
      <c r="E5" s="70" t="s">
        <v>97</v>
      </c>
      <c r="F5" s="63"/>
      <c r="H5" s="23"/>
      <c r="J5" s="23"/>
    </row>
    <row r="6" spans="1:10" s="22" customFormat="1" ht="16.5" customHeight="1">
      <c r="A6" s="64" t="s">
        <v>52</v>
      </c>
      <c r="B6" s="65"/>
      <c r="C6" s="66"/>
      <c r="D6" s="67" t="s">
        <v>18</v>
      </c>
      <c r="E6" s="62">
        <v>13710707.22</v>
      </c>
      <c r="F6" s="62"/>
      <c r="H6" s="23"/>
      <c r="J6" s="23"/>
    </row>
    <row r="7" spans="1:10" s="22" customFormat="1" ht="16.5" customHeight="1">
      <c r="A7" s="64" t="s">
        <v>53</v>
      </c>
      <c r="B7" s="65"/>
      <c r="C7" s="66"/>
      <c r="D7" s="67" t="s">
        <v>18</v>
      </c>
      <c r="E7" s="62">
        <v>128049.97</v>
      </c>
      <c r="F7" s="62"/>
      <c r="H7" s="23"/>
      <c r="J7" s="23"/>
    </row>
    <row r="8" spans="1:10" s="22" customFormat="1" ht="16.5" customHeight="1">
      <c r="A8" s="64" t="s">
        <v>54</v>
      </c>
      <c r="B8" s="65"/>
      <c r="C8" s="66"/>
      <c r="D8" s="67" t="s">
        <v>18</v>
      </c>
      <c r="E8" s="62">
        <v>1033485.15</v>
      </c>
      <c r="F8" s="62"/>
      <c r="H8" s="23"/>
      <c r="J8" s="23"/>
    </row>
    <row r="9" spans="1:10" s="22" customFormat="1" ht="16.5" customHeight="1">
      <c r="A9" s="64" t="s">
        <v>55</v>
      </c>
      <c r="B9" s="65"/>
      <c r="C9" s="66"/>
      <c r="D9" s="67" t="s">
        <v>18</v>
      </c>
      <c r="E9" s="62">
        <v>13890.11</v>
      </c>
      <c r="F9" s="62"/>
      <c r="H9" s="23"/>
      <c r="J9" s="23"/>
    </row>
    <row r="10" spans="1:10" s="22" customFormat="1" ht="16.5" customHeight="1">
      <c r="A10" s="64" t="s">
        <v>56</v>
      </c>
      <c r="B10" s="65"/>
      <c r="C10" s="66"/>
      <c r="D10" s="67" t="s">
        <v>18</v>
      </c>
      <c r="E10" s="62">
        <v>12528.14</v>
      </c>
      <c r="F10" s="62"/>
      <c r="G10" s="28"/>
      <c r="H10" s="23"/>
      <c r="I10" s="28"/>
      <c r="J10" s="23"/>
    </row>
    <row r="11" spans="1:10" s="22" customFormat="1" ht="16.5" customHeight="1">
      <c r="A11" s="64" t="s">
        <v>57</v>
      </c>
      <c r="B11" s="65"/>
      <c r="C11" s="66"/>
      <c r="D11" s="67" t="s">
        <v>18</v>
      </c>
      <c r="E11" s="62">
        <v>12525402.04</v>
      </c>
      <c r="F11" s="62"/>
      <c r="G11" s="28"/>
      <c r="H11" s="23"/>
      <c r="I11" s="28"/>
      <c r="J11" s="23"/>
    </row>
    <row r="12" spans="1:10" s="22" customFormat="1" ht="16.5" customHeight="1">
      <c r="A12" s="74" t="s">
        <v>58</v>
      </c>
      <c r="B12" s="65"/>
      <c r="C12" s="66"/>
      <c r="D12" s="67" t="s">
        <v>19</v>
      </c>
      <c r="E12" s="70">
        <v>135291.19</v>
      </c>
      <c r="F12" s="62"/>
      <c r="G12" s="28"/>
      <c r="H12" s="23"/>
      <c r="J12" s="23"/>
    </row>
    <row r="13" spans="1:10" s="22" customFormat="1" ht="16.5" customHeight="1">
      <c r="A13" s="64" t="s">
        <v>59</v>
      </c>
      <c r="B13" s="65"/>
      <c r="C13" s="66"/>
      <c r="D13" s="67" t="s">
        <v>19</v>
      </c>
      <c r="E13" s="70" t="s">
        <v>97</v>
      </c>
      <c r="F13" s="62"/>
      <c r="H13" s="23"/>
      <c r="I13" s="28"/>
      <c r="J13" s="23"/>
    </row>
    <row r="14" spans="1:10" s="22" customFormat="1" ht="16.5" customHeight="1">
      <c r="A14" s="64" t="s">
        <v>88</v>
      </c>
      <c r="B14" s="65"/>
      <c r="C14" s="66"/>
      <c r="D14" s="67"/>
      <c r="E14" s="62">
        <v>28750</v>
      </c>
      <c r="F14" s="62"/>
      <c r="H14" s="23"/>
      <c r="J14" s="23"/>
    </row>
    <row r="15" spans="1:10" s="22" customFormat="1" ht="16.5" customHeight="1">
      <c r="A15" s="64" t="s">
        <v>89</v>
      </c>
      <c r="B15" s="65"/>
      <c r="C15" s="66"/>
      <c r="D15" s="67" t="s">
        <v>20</v>
      </c>
      <c r="E15" s="62">
        <v>63719.17</v>
      </c>
      <c r="F15" s="62"/>
      <c r="H15" s="23"/>
      <c r="J15" s="23"/>
    </row>
    <row r="16" spans="1:10" s="22" customFormat="1" ht="16.5" customHeight="1">
      <c r="A16" s="64" t="s">
        <v>60</v>
      </c>
      <c r="B16" s="65"/>
      <c r="C16" s="66"/>
      <c r="D16" s="67" t="s">
        <v>41</v>
      </c>
      <c r="E16" s="62">
        <v>597820</v>
      </c>
      <c r="F16" s="62"/>
      <c r="H16" s="23"/>
      <c r="J16" s="23"/>
    </row>
    <row r="17" spans="1:10" s="22" customFormat="1" ht="16.5" customHeight="1">
      <c r="A17" s="64" t="s">
        <v>94</v>
      </c>
      <c r="B17" s="65"/>
      <c r="C17" s="66"/>
      <c r="D17" s="67" t="s">
        <v>30</v>
      </c>
      <c r="E17" s="62">
        <v>24000</v>
      </c>
      <c r="F17" s="62"/>
      <c r="H17" s="23"/>
      <c r="J17" s="23"/>
    </row>
    <row r="18" spans="1:10" s="22" customFormat="1" ht="16.5" customHeight="1">
      <c r="A18" s="64" t="s">
        <v>93</v>
      </c>
      <c r="B18" s="65"/>
      <c r="C18" s="66"/>
      <c r="D18" s="67" t="s">
        <v>42</v>
      </c>
      <c r="E18" s="62">
        <v>24000</v>
      </c>
      <c r="F18" s="62"/>
      <c r="H18" s="23"/>
      <c r="J18" s="23"/>
    </row>
    <row r="19" spans="1:10" s="22" customFormat="1" ht="16.5" customHeight="1">
      <c r="A19" s="64" t="s">
        <v>36</v>
      </c>
      <c r="B19" s="65"/>
      <c r="C19" s="66"/>
      <c r="D19" s="67" t="s">
        <v>43</v>
      </c>
      <c r="E19" s="62"/>
      <c r="F19" s="62">
        <v>19852196.64</v>
      </c>
      <c r="G19" s="23"/>
      <c r="H19" s="23"/>
      <c r="J19" s="23"/>
    </row>
    <row r="20" spans="1:10" s="22" customFormat="1" ht="16.5" customHeight="1">
      <c r="A20" s="64" t="s">
        <v>62</v>
      </c>
      <c r="B20" s="65"/>
      <c r="C20" s="66"/>
      <c r="D20" s="67" t="s">
        <v>44</v>
      </c>
      <c r="E20" s="62"/>
      <c r="F20" s="62">
        <v>489388.95</v>
      </c>
      <c r="H20" s="23"/>
      <c r="J20" s="23"/>
    </row>
    <row r="21" spans="1:10" s="22" customFormat="1" ht="16.5" customHeight="1">
      <c r="A21" s="64" t="s">
        <v>37</v>
      </c>
      <c r="B21" s="65"/>
      <c r="C21" s="66"/>
      <c r="D21" s="67" t="s">
        <v>45</v>
      </c>
      <c r="E21" s="62"/>
      <c r="F21" s="62">
        <v>9000</v>
      </c>
      <c r="H21" s="23"/>
      <c r="J21" s="23"/>
    </row>
    <row r="22" spans="1:10" s="22" customFormat="1" ht="16.5" customHeight="1">
      <c r="A22" s="64" t="s">
        <v>15</v>
      </c>
      <c r="B22" s="65"/>
      <c r="C22" s="66"/>
      <c r="D22" s="67"/>
      <c r="E22" s="62"/>
      <c r="F22" s="62">
        <v>2179705.44</v>
      </c>
      <c r="H22" s="23"/>
      <c r="J22" s="23"/>
    </row>
    <row r="23" spans="1:10" s="22" customFormat="1" ht="16.5" customHeight="1">
      <c r="A23" s="64" t="s">
        <v>90</v>
      </c>
      <c r="B23" s="65"/>
      <c r="C23" s="66"/>
      <c r="D23" s="67"/>
      <c r="E23" s="62"/>
      <c r="F23" s="62">
        <v>540910</v>
      </c>
      <c r="H23" s="23"/>
      <c r="J23" s="23"/>
    </row>
    <row r="24" spans="1:10" s="22" customFormat="1" ht="16.5" customHeight="1">
      <c r="A24" s="64" t="s">
        <v>95</v>
      </c>
      <c r="B24" s="65"/>
      <c r="C24" s="66"/>
      <c r="D24" s="67" t="s">
        <v>46</v>
      </c>
      <c r="E24" s="62"/>
      <c r="F24" s="62">
        <v>24000</v>
      </c>
      <c r="H24" s="23"/>
      <c r="J24" s="23"/>
    </row>
    <row r="25" spans="1:10" s="22" customFormat="1" ht="16.5" customHeight="1">
      <c r="A25" s="64" t="s">
        <v>39</v>
      </c>
      <c r="B25" s="65"/>
      <c r="C25" s="66"/>
      <c r="D25" s="67" t="s">
        <v>29</v>
      </c>
      <c r="E25" s="62"/>
      <c r="F25" s="62">
        <v>5240153.31</v>
      </c>
      <c r="H25" s="23"/>
      <c r="J25" s="23"/>
    </row>
    <row r="26" spans="1:10" s="22" customFormat="1" ht="16.5" customHeight="1">
      <c r="A26" s="64" t="s">
        <v>40</v>
      </c>
      <c r="B26" s="65"/>
      <c r="C26" s="66"/>
      <c r="D26" s="67" t="s">
        <v>31</v>
      </c>
      <c r="E26" s="62"/>
      <c r="F26" s="62">
        <v>12097243.59</v>
      </c>
      <c r="H26" s="23"/>
      <c r="J26" s="23"/>
    </row>
    <row r="27" spans="1:10" s="22" customFormat="1" ht="16.5" customHeight="1">
      <c r="A27" s="64" t="s">
        <v>99</v>
      </c>
      <c r="B27" s="65"/>
      <c r="C27" s="66"/>
      <c r="D27" s="67" t="s">
        <v>47</v>
      </c>
      <c r="E27" s="62">
        <v>8.4</v>
      </c>
      <c r="F27" s="62"/>
      <c r="H27" s="23"/>
      <c r="J27" s="23"/>
    </row>
    <row r="28" spans="1:10" s="22" customFormat="1" ht="16.5" customHeight="1">
      <c r="A28" s="64" t="s">
        <v>14</v>
      </c>
      <c r="B28" s="65"/>
      <c r="C28" s="66"/>
      <c r="D28" s="67" t="s">
        <v>74</v>
      </c>
      <c r="E28" s="62">
        <v>3840882</v>
      </c>
      <c r="F28" s="62"/>
      <c r="H28" s="23"/>
      <c r="J28" s="23"/>
    </row>
    <row r="29" spans="1:10" s="22" customFormat="1" ht="16.5" customHeight="1">
      <c r="A29" s="64" t="s">
        <v>78</v>
      </c>
      <c r="B29" s="65"/>
      <c r="C29" s="66"/>
      <c r="D29" s="67" t="s">
        <v>48</v>
      </c>
      <c r="E29" s="62">
        <v>1253598</v>
      </c>
      <c r="F29" s="62"/>
      <c r="H29" s="62">
        <v>3840882</v>
      </c>
      <c r="J29" s="23"/>
    </row>
    <row r="30" spans="1:10" s="22" customFormat="1" ht="16.5" customHeight="1">
      <c r="A30" s="64" t="s">
        <v>79</v>
      </c>
      <c r="B30" s="65"/>
      <c r="C30" s="66"/>
      <c r="D30" s="67" t="s">
        <v>21</v>
      </c>
      <c r="E30" s="62">
        <v>3287334</v>
      </c>
      <c r="F30" s="62"/>
      <c r="H30" s="62">
        <v>1253598</v>
      </c>
      <c r="J30" s="23"/>
    </row>
    <row r="31" spans="1:10" s="22" customFormat="1" ht="16.5" customHeight="1">
      <c r="A31" s="64" t="s">
        <v>71</v>
      </c>
      <c r="B31" s="65"/>
      <c r="C31" s="66"/>
      <c r="D31" s="67" t="s">
        <v>75</v>
      </c>
      <c r="E31" s="70" t="s">
        <v>97</v>
      </c>
      <c r="F31" s="62"/>
      <c r="H31" s="62">
        <v>3287334</v>
      </c>
      <c r="J31" s="23"/>
    </row>
    <row r="32" spans="1:10" s="22" customFormat="1" ht="16.5" customHeight="1">
      <c r="A32" s="64" t="s">
        <v>7</v>
      </c>
      <c r="B32" s="65"/>
      <c r="C32" s="66"/>
      <c r="D32" s="67" t="s">
        <v>22</v>
      </c>
      <c r="E32" s="62">
        <v>121265.25</v>
      </c>
      <c r="F32" s="62"/>
      <c r="H32" s="70" t="s">
        <v>97</v>
      </c>
      <c r="J32" s="23"/>
    </row>
    <row r="33" spans="1:10" s="22" customFormat="1" ht="16.5" customHeight="1">
      <c r="A33" s="64" t="s">
        <v>8</v>
      </c>
      <c r="B33" s="65"/>
      <c r="C33" s="66"/>
      <c r="D33" s="67" t="s">
        <v>23</v>
      </c>
      <c r="E33" s="62">
        <v>1063593.76</v>
      </c>
      <c r="F33" s="62"/>
      <c r="H33" s="62">
        <v>121265.25</v>
      </c>
      <c r="J33" s="23"/>
    </row>
    <row r="34" spans="1:10" s="22" customFormat="1" ht="16.5" customHeight="1">
      <c r="A34" s="64" t="s">
        <v>72</v>
      </c>
      <c r="B34" s="65"/>
      <c r="C34" s="66"/>
      <c r="D34" s="67" t="s">
        <v>76</v>
      </c>
      <c r="E34" s="70" t="s">
        <v>97</v>
      </c>
      <c r="F34" s="62"/>
      <c r="H34" s="62">
        <v>1063593.76</v>
      </c>
      <c r="J34" s="23"/>
    </row>
    <row r="35" spans="1:10" s="22" customFormat="1" ht="16.5" customHeight="1">
      <c r="A35" s="64" t="s">
        <v>9</v>
      </c>
      <c r="B35" s="65"/>
      <c r="C35" s="66"/>
      <c r="D35" s="67" t="s">
        <v>24</v>
      </c>
      <c r="E35" s="62">
        <v>619920.9</v>
      </c>
      <c r="F35" s="62"/>
      <c r="H35" s="70" t="s">
        <v>97</v>
      </c>
      <c r="J35" s="23"/>
    </row>
    <row r="36" spans="1:10" s="22" customFormat="1" ht="16.5" customHeight="1">
      <c r="A36" s="64" t="s">
        <v>73</v>
      </c>
      <c r="B36" s="65"/>
      <c r="C36" s="66"/>
      <c r="D36" s="67" t="s">
        <v>77</v>
      </c>
      <c r="E36" s="70" t="s">
        <v>97</v>
      </c>
      <c r="F36" s="62"/>
      <c r="H36" s="62">
        <v>619920.9</v>
      </c>
      <c r="J36" s="23"/>
    </row>
    <row r="37" spans="1:10" s="22" customFormat="1" ht="16.5" customHeight="1">
      <c r="A37" s="64" t="s">
        <v>10</v>
      </c>
      <c r="B37" s="65"/>
      <c r="C37" s="66"/>
      <c r="D37" s="67" t="s">
        <v>25</v>
      </c>
      <c r="E37" s="62">
        <v>172934.33</v>
      </c>
      <c r="F37" s="62"/>
      <c r="H37" s="70" t="s">
        <v>97</v>
      </c>
      <c r="J37" s="23"/>
    </row>
    <row r="38" spans="1:10" s="22" customFormat="1" ht="16.5" customHeight="1">
      <c r="A38" s="64" t="s">
        <v>12</v>
      </c>
      <c r="B38" s="65"/>
      <c r="C38" s="66"/>
      <c r="D38" s="67" t="s">
        <v>27</v>
      </c>
      <c r="E38" s="62">
        <v>92418.3</v>
      </c>
      <c r="F38" s="62"/>
      <c r="H38" s="62">
        <v>172934.33</v>
      </c>
      <c r="J38" s="23"/>
    </row>
    <row r="39" spans="1:10" s="22" customFormat="1" ht="16.5" customHeight="1">
      <c r="A39" s="64" t="s">
        <v>13</v>
      </c>
      <c r="B39" s="65"/>
      <c r="C39" s="66"/>
      <c r="D39" s="67" t="s">
        <v>28</v>
      </c>
      <c r="E39" s="62">
        <v>326000</v>
      </c>
      <c r="F39" s="62"/>
      <c r="H39" s="62">
        <v>92418.3</v>
      </c>
      <c r="J39" s="23"/>
    </row>
    <row r="40" spans="1:10" s="22" customFormat="1" ht="16.5" customHeight="1">
      <c r="A40" s="64" t="s">
        <v>84</v>
      </c>
      <c r="B40" s="65"/>
      <c r="C40" s="66"/>
      <c r="D40" s="67" t="s">
        <v>26</v>
      </c>
      <c r="E40" s="62"/>
      <c r="F40" s="62"/>
      <c r="H40" s="62">
        <v>326000</v>
      </c>
      <c r="J40" s="23"/>
    </row>
    <row r="41" spans="1:10" s="22" customFormat="1" ht="16.5" customHeight="1">
      <c r="A41" s="64" t="s">
        <v>11</v>
      </c>
      <c r="B41" s="65"/>
      <c r="C41" s="66"/>
      <c r="D41" s="67"/>
      <c r="E41" s="62">
        <v>1327000</v>
      </c>
      <c r="F41" s="62"/>
      <c r="H41" s="62"/>
      <c r="J41" s="23"/>
    </row>
    <row r="42" spans="1:10" s="22" customFormat="1" ht="16.5" customHeight="1">
      <c r="A42" s="71" t="s">
        <v>98</v>
      </c>
      <c r="B42" s="72"/>
      <c r="C42" s="73"/>
      <c r="D42" s="67"/>
      <c r="E42" s="62">
        <v>30000</v>
      </c>
      <c r="F42" s="93"/>
      <c r="H42" s="62">
        <v>1327000</v>
      </c>
      <c r="J42" s="23"/>
    </row>
    <row r="43" spans="1:10" s="22" customFormat="1" ht="18.75" customHeight="1" thickBot="1">
      <c r="A43" s="122" t="s">
        <v>16</v>
      </c>
      <c r="B43" s="123"/>
      <c r="C43" s="124"/>
      <c r="D43" s="46"/>
      <c r="E43" s="79">
        <f>SUM(E5:E42)</f>
        <v>40432597.92999999</v>
      </c>
      <c r="F43" s="79">
        <f>SUM(F5:F42)</f>
        <v>40432597.93</v>
      </c>
      <c r="G43" s="28">
        <f>E43-F43</f>
        <v>0</v>
      </c>
      <c r="H43" s="62"/>
      <c r="J43" s="23"/>
    </row>
    <row r="44" spans="1:16" s="7" customFormat="1" ht="16.5" customHeight="1" thickTop="1">
      <c r="A44" s="82"/>
      <c r="B44" s="82"/>
      <c r="C44" s="82"/>
      <c r="D44" s="83"/>
      <c r="E44" s="84"/>
      <c r="F44" s="84"/>
      <c r="G44" s="10"/>
      <c r="H44" s="100">
        <f>SUM(H29:H43)</f>
        <v>12104946.540000001</v>
      </c>
      <c r="I44" s="4"/>
      <c r="J44" s="6"/>
      <c r="K44" s="4"/>
      <c r="L44" s="4"/>
      <c r="M44" s="4"/>
      <c r="N44" s="4"/>
      <c r="O44" s="4"/>
      <c r="P44" s="4"/>
    </row>
    <row r="45" spans="1:16" s="7" customFormat="1" ht="21" customHeight="1">
      <c r="A45" s="77" t="s">
        <v>33</v>
      </c>
      <c r="B45" s="77"/>
      <c r="C45" s="77" t="s">
        <v>34</v>
      </c>
      <c r="D45" s="77"/>
      <c r="E45" s="77" t="s">
        <v>35</v>
      </c>
      <c r="F45" s="77"/>
      <c r="G45" s="4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18" customHeight="1">
      <c r="A46" s="117" t="s">
        <v>64</v>
      </c>
      <c r="B46" s="117"/>
      <c r="C46" s="117" t="s">
        <v>106</v>
      </c>
      <c r="D46" s="117"/>
      <c r="E46" s="116" t="s">
        <v>66</v>
      </c>
      <c r="F46" s="116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17" t="s">
        <v>32</v>
      </c>
      <c r="B47" s="117"/>
      <c r="C47" s="117" t="s">
        <v>68</v>
      </c>
      <c r="D47" s="117"/>
      <c r="E47" s="118" t="s">
        <v>67</v>
      </c>
      <c r="F47" s="118"/>
      <c r="G47" s="4"/>
      <c r="H47" s="6"/>
      <c r="I47" s="4"/>
      <c r="J47" s="6"/>
      <c r="K47" s="4"/>
      <c r="L47" s="4"/>
      <c r="M47" s="4"/>
      <c r="N47" s="4"/>
      <c r="O47" s="4"/>
      <c r="P47" s="4"/>
    </row>
  </sheetData>
  <sheetProtection/>
  <mergeCells count="11">
    <mergeCell ref="A46:B46"/>
    <mergeCell ref="C46:D46"/>
    <mergeCell ref="E46:F46"/>
    <mergeCell ref="A47:B47"/>
    <mergeCell ref="C47:D47"/>
    <mergeCell ref="E47:F47"/>
    <mergeCell ref="A1:F1"/>
    <mergeCell ref="A2:F2"/>
    <mergeCell ref="A3:F3"/>
    <mergeCell ref="A4:C4"/>
    <mergeCell ref="A43:C43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24">
      <selection activeCell="I29" sqref="I29:I43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9.421875" style="0" customWidth="1"/>
    <col min="10" max="10" width="14.28125" style="2" bestFit="1" customWidth="1"/>
  </cols>
  <sheetData>
    <row r="1" spans="1:16" s="7" customFormat="1" ht="19.5" customHeight="1">
      <c r="A1" s="119" t="s">
        <v>51</v>
      </c>
      <c r="B1" s="119"/>
      <c r="C1" s="119"/>
      <c r="D1" s="119"/>
      <c r="E1" s="119"/>
      <c r="F1" s="119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19" t="s">
        <v>83</v>
      </c>
      <c r="B2" s="119"/>
      <c r="C2" s="119"/>
      <c r="D2" s="119"/>
      <c r="E2" s="119"/>
      <c r="F2" s="119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20" t="s">
        <v>108</v>
      </c>
      <c r="B3" s="120"/>
      <c r="C3" s="120"/>
      <c r="D3" s="120"/>
      <c r="E3" s="120"/>
      <c r="F3" s="120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27" t="s">
        <v>1</v>
      </c>
      <c r="B4" s="128"/>
      <c r="C4" s="129"/>
      <c r="D4" s="80" t="s">
        <v>2</v>
      </c>
      <c r="E4" s="81" t="s">
        <v>3</v>
      </c>
      <c r="F4" s="81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58" t="s">
        <v>5</v>
      </c>
      <c r="B5" s="59"/>
      <c r="C5" s="60"/>
      <c r="D5" s="61" t="s">
        <v>17</v>
      </c>
      <c r="E5" s="70">
        <v>36</v>
      </c>
      <c r="F5" s="63"/>
      <c r="H5" s="23"/>
      <c r="J5" s="23"/>
    </row>
    <row r="6" spans="1:10" s="22" customFormat="1" ht="16.5" customHeight="1">
      <c r="A6" s="64" t="s">
        <v>52</v>
      </c>
      <c r="B6" s="65"/>
      <c r="C6" s="66"/>
      <c r="D6" s="67" t="s">
        <v>18</v>
      </c>
      <c r="E6" s="62">
        <v>14309690.38</v>
      </c>
      <c r="F6" s="62"/>
      <c r="H6" s="23"/>
      <c r="J6" s="23"/>
    </row>
    <row r="7" spans="1:10" s="22" customFormat="1" ht="16.5" customHeight="1">
      <c r="A7" s="64" t="s">
        <v>53</v>
      </c>
      <c r="B7" s="65"/>
      <c r="C7" s="66"/>
      <c r="D7" s="67" t="s">
        <v>18</v>
      </c>
      <c r="E7" s="62">
        <v>128049.97</v>
      </c>
      <c r="F7" s="62"/>
      <c r="H7" s="23"/>
      <c r="J7" s="23"/>
    </row>
    <row r="8" spans="1:10" s="22" customFormat="1" ht="16.5" customHeight="1">
      <c r="A8" s="64" t="s">
        <v>54</v>
      </c>
      <c r="B8" s="65"/>
      <c r="C8" s="66"/>
      <c r="D8" s="67" t="s">
        <v>18</v>
      </c>
      <c r="E8" s="62">
        <v>1074003.15</v>
      </c>
      <c r="F8" s="62"/>
      <c r="H8" s="23"/>
      <c r="J8" s="23"/>
    </row>
    <row r="9" spans="1:10" s="22" customFormat="1" ht="16.5" customHeight="1">
      <c r="A9" s="64" t="s">
        <v>55</v>
      </c>
      <c r="B9" s="65"/>
      <c r="C9" s="66"/>
      <c r="D9" s="67" t="s">
        <v>18</v>
      </c>
      <c r="E9" s="62">
        <v>13890.11</v>
      </c>
      <c r="F9" s="62"/>
      <c r="H9" s="23"/>
      <c r="J9" s="23"/>
    </row>
    <row r="10" spans="1:10" s="22" customFormat="1" ht="16.5" customHeight="1">
      <c r="A10" s="64" t="s">
        <v>56</v>
      </c>
      <c r="B10" s="65"/>
      <c r="C10" s="66"/>
      <c r="D10" s="67" t="s">
        <v>18</v>
      </c>
      <c r="E10" s="62">
        <v>12528.14</v>
      </c>
      <c r="F10" s="62"/>
      <c r="G10" s="28"/>
      <c r="H10" s="23"/>
      <c r="I10" s="28"/>
      <c r="J10" s="23"/>
    </row>
    <row r="11" spans="1:10" s="22" customFormat="1" ht="16.5" customHeight="1">
      <c r="A11" s="64" t="s">
        <v>57</v>
      </c>
      <c r="B11" s="65"/>
      <c r="C11" s="66"/>
      <c r="D11" s="67" t="s">
        <v>18</v>
      </c>
      <c r="E11" s="62">
        <v>12710402.04</v>
      </c>
      <c r="F11" s="62"/>
      <c r="G11" s="28"/>
      <c r="H11" s="23"/>
      <c r="I11" s="28"/>
      <c r="J11" s="23"/>
    </row>
    <row r="12" spans="1:10" s="22" customFormat="1" ht="16.5" customHeight="1">
      <c r="A12" s="74" t="s">
        <v>58</v>
      </c>
      <c r="B12" s="65"/>
      <c r="C12" s="66"/>
      <c r="D12" s="67" t="s">
        <v>19</v>
      </c>
      <c r="E12" s="70">
        <v>1223808.38</v>
      </c>
      <c r="F12" s="62"/>
      <c r="G12" s="28"/>
      <c r="H12" s="23"/>
      <c r="J12" s="23"/>
    </row>
    <row r="13" spans="1:10" s="22" customFormat="1" ht="16.5" customHeight="1">
      <c r="A13" s="64" t="s">
        <v>59</v>
      </c>
      <c r="B13" s="65"/>
      <c r="C13" s="66"/>
      <c r="D13" s="67" t="s">
        <v>19</v>
      </c>
      <c r="E13" s="70" t="s">
        <v>97</v>
      </c>
      <c r="F13" s="62"/>
      <c r="H13" s="23"/>
      <c r="I13" s="28"/>
      <c r="J13" s="23"/>
    </row>
    <row r="14" spans="1:10" s="22" customFormat="1" ht="16.5" customHeight="1">
      <c r="A14" s="64" t="s">
        <v>88</v>
      </c>
      <c r="B14" s="65"/>
      <c r="C14" s="66"/>
      <c r="D14" s="67"/>
      <c r="E14" s="62">
        <v>28750</v>
      </c>
      <c r="F14" s="62"/>
      <c r="H14" s="23"/>
      <c r="J14" s="23"/>
    </row>
    <row r="15" spans="1:10" s="22" customFormat="1" ht="16.5" customHeight="1">
      <c r="A15" s="64" t="s">
        <v>89</v>
      </c>
      <c r="B15" s="65"/>
      <c r="C15" s="66"/>
      <c r="D15" s="67" t="s">
        <v>20</v>
      </c>
      <c r="E15" s="62">
        <v>63719.17</v>
      </c>
      <c r="F15" s="62"/>
      <c r="H15" s="23"/>
      <c r="J15" s="23"/>
    </row>
    <row r="16" spans="1:10" s="22" customFormat="1" ht="16.5" customHeight="1">
      <c r="A16" s="64" t="s">
        <v>60</v>
      </c>
      <c r="B16" s="65"/>
      <c r="C16" s="66"/>
      <c r="D16" s="67" t="s">
        <v>41</v>
      </c>
      <c r="E16" s="62">
        <v>81700</v>
      </c>
      <c r="F16" s="62"/>
      <c r="H16" s="23"/>
      <c r="J16" s="23"/>
    </row>
    <row r="17" spans="1:10" s="22" customFormat="1" ht="16.5" customHeight="1">
      <c r="A17" s="64" t="s">
        <v>94</v>
      </c>
      <c r="B17" s="65"/>
      <c r="C17" s="66"/>
      <c r="D17" s="67" t="s">
        <v>30</v>
      </c>
      <c r="E17" s="62">
        <v>24000</v>
      </c>
      <c r="F17" s="62"/>
      <c r="H17" s="23"/>
      <c r="J17" s="23"/>
    </row>
    <row r="18" spans="1:10" s="22" customFormat="1" ht="16.5" customHeight="1">
      <c r="A18" s="64" t="s">
        <v>93</v>
      </c>
      <c r="B18" s="65"/>
      <c r="C18" s="66"/>
      <c r="D18" s="67" t="s">
        <v>42</v>
      </c>
      <c r="E18" s="62">
        <v>24000</v>
      </c>
      <c r="F18" s="62"/>
      <c r="H18" s="23"/>
      <c r="J18" s="23"/>
    </row>
    <row r="19" spans="1:10" s="22" customFormat="1" ht="16.5" customHeight="1">
      <c r="A19" s="64" t="s">
        <v>36</v>
      </c>
      <c r="B19" s="65"/>
      <c r="C19" s="66"/>
      <c r="D19" s="67" t="s">
        <v>43</v>
      </c>
      <c r="E19" s="62"/>
      <c r="F19" s="62">
        <v>24546772.2</v>
      </c>
      <c r="H19" s="23"/>
      <c r="J19" s="23"/>
    </row>
    <row r="20" spans="1:10" s="22" customFormat="1" ht="16.5" customHeight="1">
      <c r="A20" s="64" t="s">
        <v>62</v>
      </c>
      <c r="B20" s="65"/>
      <c r="C20" s="66"/>
      <c r="D20" s="67" t="s">
        <v>44</v>
      </c>
      <c r="E20" s="62"/>
      <c r="F20" s="62">
        <v>489388.95</v>
      </c>
      <c r="H20" s="23"/>
      <c r="J20" s="23"/>
    </row>
    <row r="21" spans="1:10" s="22" customFormat="1" ht="16.5" customHeight="1">
      <c r="A21" s="64" t="s">
        <v>37</v>
      </c>
      <c r="B21" s="65"/>
      <c r="C21" s="66"/>
      <c r="D21" s="67" t="s">
        <v>45</v>
      </c>
      <c r="E21" s="62"/>
      <c r="F21" s="62">
        <v>9000</v>
      </c>
      <c r="H21" s="23"/>
      <c r="J21" s="23"/>
    </row>
    <row r="22" spans="1:10" s="22" customFormat="1" ht="16.5" customHeight="1">
      <c r="A22" s="64" t="s">
        <v>15</v>
      </c>
      <c r="B22" s="65"/>
      <c r="C22" s="66"/>
      <c r="D22" s="67"/>
      <c r="E22" s="62"/>
      <c r="F22" s="62">
        <v>2226576.45</v>
      </c>
      <c r="H22" s="23"/>
      <c r="J22" s="23"/>
    </row>
    <row r="23" spans="1:10" s="22" customFormat="1" ht="16.5" customHeight="1">
      <c r="A23" s="64" t="s">
        <v>90</v>
      </c>
      <c r="B23" s="65"/>
      <c r="C23" s="66"/>
      <c r="D23" s="67"/>
      <c r="E23" s="62"/>
      <c r="F23" s="62">
        <v>540910</v>
      </c>
      <c r="H23" s="23">
        <v>588820</v>
      </c>
      <c r="I23" s="23">
        <v>585300</v>
      </c>
      <c r="J23" s="23">
        <v>100900</v>
      </c>
    </row>
    <row r="24" spans="1:10" s="22" customFormat="1" ht="16.5" customHeight="1">
      <c r="A24" s="64" t="s">
        <v>95</v>
      </c>
      <c r="B24" s="65"/>
      <c r="C24" s="66"/>
      <c r="D24" s="67" t="s">
        <v>46</v>
      </c>
      <c r="E24" s="62"/>
      <c r="F24" s="62">
        <v>24000</v>
      </c>
      <c r="H24" s="23"/>
      <c r="I24" s="23">
        <v>3520</v>
      </c>
      <c r="J24" s="23">
        <v>18000</v>
      </c>
    </row>
    <row r="25" spans="1:10" s="22" customFormat="1" ht="16.5" customHeight="1">
      <c r="A25" s="64" t="s">
        <v>39</v>
      </c>
      <c r="B25" s="65"/>
      <c r="C25" s="66"/>
      <c r="D25" s="67" t="s">
        <v>29</v>
      </c>
      <c r="E25" s="62"/>
      <c r="F25" s="62">
        <v>4709501.31</v>
      </c>
      <c r="H25" s="23"/>
      <c r="I25" s="23"/>
      <c r="J25" s="23">
        <v>416000</v>
      </c>
    </row>
    <row r="26" spans="1:10" s="22" customFormat="1" ht="16.5" customHeight="1">
      <c r="A26" s="64" t="s">
        <v>40</v>
      </c>
      <c r="B26" s="65"/>
      <c r="C26" s="66"/>
      <c r="D26" s="67" t="s">
        <v>31</v>
      </c>
      <c r="E26" s="62"/>
      <c r="F26" s="62">
        <v>12097243.59</v>
      </c>
      <c r="H26" s="23"/>
      <c r="I26" s="23">
        <f>SUM(I23:I25)</f>
        <v>588820</v>
      </c>
      <c r="J26" s="23"/>
    </row>
    <row r="27" spans="1:10" s="22" customFormat="1" ht="16.5" customHeight="1">
      <c r="A27" s="64" t="s">
        <v>99</v>
      </c>
      <c r="B27" s="65"/>
      <c r="C27" s="66"/>
      <c r="D27" s="67" t="s">
        <v>47</v>
      </c>
      <c r="E27" s="62" t="s">
        <v>97</v>
      </c>
      <c r="F27" s="62"/>
      <c r="H27" s="23"/>
      <c r="J27" s="23">
        <f>SUM(J23:J26)</f>
        <v>534900</v>
      </c>
    </row>
    <row r="28" spans="1:10" s="22" customFormat="1" ht="16.5" customHeight="1">
      <c r="A28" s="64" t="s">
        <v>14</v>
      </c>
      <c r="B28" s="65"/>
      <c r="C28" s="66"/>
      <c r="D28" s="67" t="s">
        <v>74</v>
      </c>
      <c r="E28" s="62">
        <v>4838177</v>
      </c>
      <c r="F28" s="62"/>
      <c r="H28" s="23"/>
      <c r="J28" s="23"/>
    </row>
    <row r="29" spans="1:10" s="22" customFormat="1" ht="16.5" customHeight="1">
      <c r="A29" s="64" t="s">
        <v>78</v>
      </c>
      <c r="B29" s="65"/>
      <c r="C29" s="66"/>
      <c r="D29" s="67" t="s">
        <v>48</v>
      </c>
      <c r="E29" s="62">
        <v>1460658</v>
      </c>
      <c r="F29" s="62"/>
      <c r="H29" s="23"/>
      <c r="I29" s="62">
        <v>4838177</v>
      </c>
      <c r="J29" s="23"/>
    </row>
    <row r="30" spans="1:10" s="22" customFormat="1" ht="16.5" customHeight="1">
      <c r="A30" s="64" t="s">
        <v>79</v>
      </c>
      <c r="B30" s="65"/>
      <c r="C30" s="66"/>
      <c r="D30" s="67" t="s">
        <v>21</v>
      </c>
      <c r="E30" s="62">
        <v>3793304</v>
      </c>
      <c r="F30" s="62"/>
      <c r="H30" s="23"/>
      <c r="I30" s="62">
        <v>1460658</v>
      </c>
      <c r="J30" s="23"/>
    </row>
    <row r="31" spans="1:10" s="22" customFormat="1" ht="16.5" customHeight="1">
      <c r="A31" s="64" t="s">
        <v>71</v>
      </c>
      <c r="B31" s="65"/>
      <c r="C31" s="66"/>
      <c r="D31" s="67" t="s">
        <v>75</v>
      </c>
      <c r="E31" s="70" t="s">
        <v>97</v>
      </c>
      <c r="F31" s="62"/>
      <c r="H31" s="23"/>
      <c r="I31" s="62">
        <v>3793304</v>
      </c>
      <c r="J31" s="23"/>
    </row>
    <row r="32" spans="1:10" s="22" customFormat="1" ht="16.5" customHeight="1">
      <c r="A32" s="64" t="s">
        <v>7</v>
      </c>
      <c r="B32" s="65"/>
      <c r="C32" s="66"/>
      <c r="D32" s="67" t="s">
        <v>22</v>
      </c>
      <c r="E32" s="62">
        <v>141185.25</v>
      </c>
      <c r="F32" s="62"/>
      <c r="H32" s="23"/>
      <c r="I32" s="70" t="s">
        <v>97</v>
      </c>
      <c r="J32" s="23"/>
    </row>
    <row r="33" spans="1:10" s="22" customFormat="1" ht="16.5" customHeight="1">
      <c r="A33" s="64" t="s">
        <v>8</v>
      </c>
      <c r="B33" s="65"/>
      <c r="C33" s="66"/>
      <c r="D33" s="67" t="s">
        <v>23</v>
      </c>
      <c r="E33" s="62">
        <v>1325608.76</v>
      </c>
      <c r="F33" s="62"/>
      <c r="H33" s="23">
        <f>SUM(E28:E42)</f>
        <v>14948815.16</v>
      </c>
      <c r="I33" s="62">
        <v>141185.25</v>
      </c>
      <c r="J33" s="23"/>
    </row>
    <row r="34" spans="1:10" s="22" customFormat="1" ht="16.5" customHeight="1">
      <c r="A34" s="64" t="s">
        <v>72</v>
      </c>
      <c r="B34" s="65"/>
      <c r="C34" s="66"/>
      <c r="D34" s="67" t="s">
        <v>76</v>
      </c>
      <c r="E34" s="70" t="s">
        <v>97</v>
      </c>
      <c r="F34" s="62"/>
      <c r="H34" s="23"/>
      <c r="I34" s="62">
        <v>1325608.76</v>
      </c>
      <c r="J34" s="23"/>
    </row>
    <row r="35" spans="1:10" s="22" customFormat="1" ht="16.5" customHeight="1">
      <c r="A35" s="64" t="s">
        <v>9</v>
      </c>
      <c r="B35" s="65"/>
      <c r="C35" s="66"/>
      <c r="D35" s="67" t="s">
        <v>24</v>
      </c>
      <c r="E35" s="62">
        <v>977860.46</v>
      </c>
      <c r="F35" s="62"/>
      <c r="H35" s="23"/>
      <c r="I35" s="70" t="s">
        <v>97</v>
      </c>
      <c r="J35" s="23"/>
    </row>
    <row r="36" spans="1:10" s="22" customFormat="1" ht="16.5" customHeight="1">
      <c r="A36" s="64" t="s">
        <v>73</v>
      </c>
      <c r="B36" s="65"/>
      <c r="C36" s="66"/>
      <c r="D36" s="67" t="s">
        <v>77</v>
      </c>
      <c r="E36" s="70" t="s">
        <v>97</v>
      </c>
      <c r="F36" s="62"/>
      <c r="H36" s="23"/>
      <c r="I36" s="62">
        <v>977860.46</v>
      </c>
      <c r="J36" s="23"/>
    </row>
    <row r="37" spans="1:10" s="22" customFormat="1" ht="16.5" customHeight="1">
      <c r="A37" s="64" t="s">
        <v>10</v>
      </c>
      <c r="B37" s="65"/>
      <c r="C37" s="66"/>
      <c r="D37" s="67" t="s">
        <v>25</v>
      </c>
      <c r="E37" s="62">
        <v>202103.39</v>
      </c>
      <c r="F37" s="62"/>
      <c r="H37" s="23"/>
      <c r="I37" s="70" t="s">
        <v>97</v>
      </c>
      <c r="J37" s="23"/>
    </row>
    <row r="38" spans="1:10" s="22" customFormat="1" ht="16.5" customHeight="1">
      <c r="A38" s="64" t="s">
        <v>12</v>
      </c>
      <c r="B38" s="65"/>
      <c r="C38" s="66"/>
      <c r="D38" s="67" t="s">
        <v>27</v>
      </c>
      <c r="E38" s="62">
        <v>114418.3</v>
      </c>
      <c r="F38" s="62"/>
      <c r="H38" s="23"/>
      <c r="I38" s="62">
        <v>202103.39</v>
      </c>
      <c r="J38" s="23"/>
    </row>
    <row r="39" spans="1:10" s="22" customFormat="1" ht="16.5" customHeight="1">
      <c r="A39" s="64" t="s">
        <v>13</v>
      </c>
      <c r="B39" s="65"/>
      <c r="C39" s="66"/>
      <c r="D39" s="67" t="s">
        <v>28</v>
      </c>
      <c r="E39" s="62">
        <v>678500</v>
      </c>
      <c r="F39" s="62"/>
      <c r="H39" s="23"/>
      <c r="I39" s="62">
        <v>114418.3</v>
      </c>
      <c r="J39" s="23"/>
    </row>
    <row r="40" spans="1:10" s="22" customFormat="1" ht="16.5" customHeight="1">
      <c r="A40" s="64" t="s">
        <v>84</v>
      </c>
      <c r="B40" s="65"/>
      <c r="C40" s="66"/>
      <c r="D40" s="67" t="s">
        <v>26</v>
      </c>
      <c r="E40" s="62"/>
      <c r="F40" s="62"/>
      <c r="H40" s="23"/>
      <c r="I40" s="62">
        <v>678500</v>
      </c>
      <c r="J40" s="23"/>
    </row>
    <row r="41" spans="1:10" s="22" customFormat="1" ht="16.5" customHeight="1">
      <c r="A41" s="64" t="s">
        <v>11</v>
      </c>
      <c r="B41" s="65"/>
      <c r="C41" s="66"/>
      <c r="D41" s="67"/>
      <c r="E41" s="62">
        <v>1387000</v>
      </c>
      <c r="F41" s="62"/>
      <c r="H41" s="23"/>
      <c r="I41" s="62"/>
      <c r="J41" s="23"/>
    </row>
    <row r="42" spans="1:10" s="22" customFormat="1" ht="16.5" customHeight="1">
      <c r="A42" s="71" t="s">
        <v>98</v>
      </c>
      <c r="B42" s="72"/>
      <c r="C42" s="73"/>
      <c r="D42" s="67"/>
      <c r="E42" s="62">
        <v>30000</v>
      </c>
      <c r="F42" s="93"/>
      <c r="H42" s="23"/>
      <c r="I42" s="62">
        <v>1387000</v>
      </c>
      <c r="J42" s="23"/>
    </row>
    <row r="43" spans="1:10" s="22" customFormat="1" ht="18.75" customHeight="1" thickBot="1">
      <c r="A43" s="122" t="s">
        <v>16</v>
      </c>
      <c r="B43" s="123"/>
      <c r="C43" s="124"/>
      <c r="D43" s="46"/>
      <c r="E43" s="79">
        <f>SUM(E5:E42)</f>
        <v>44643392.5</v>
      </c>
      <c r="F43" s="79">
        <f>SUM(F5:F42)</f>
        <v>44643392.5</v>
      </c>
      <c r="G43" s="28">
        <f>E43-F43</f>
        <v>0</v>
      </c>
      <c r="H43" s="23"/>
      <c r="I43" s="28">
        <f>SUM(I29:I42)</f>
        <v>14918815.16</v>
      </c>
      <c r="J43" s="23"/>
    </row>
    <row r="44" spans="1:16" s="7" customFormat="1" ht="16.5" customHeight="1" thickTop="1">
      <c r="A44" s="82"/>
      <c r="B44" s="82"/>
      <c r="C44" s="82"/>
      <c r="D44" s="83"/>
      <c r="E44" s="84"/>
      <c r="F44" s="84"/>
      <c r="G44" s="10"/>
      <c r="H44" s="6"/>
      <c r="I44" s="4"/>
      <c r="J44" s="6"/>
      <c r="K44" s="4"/>
      <c r="L44" s="4"/>
      <c r="M44" s="4"/>
      <c r="N44" s="4"/>
      <c r="O44" s="4"/>
      <c r="P44" s="4"/>
    </row>
    <row r="45" spans="1:16" s="7" customFormat="1" ht="21" customHeight="1">
      <c r="A45" s="77" t="s">
        <v>33</v>
      </c>
      <c r="B45" s="77"/>
      <c r="C45" s="77" t="s">
        <v>34</v>
      </c>
      <c r="D45" s="77"/>
      <c r="E45" s="77" t="s">
        <v>35</v>
      </c>
      <c r="F45" s="77"/>
      <c r="G45" s="4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18" customHeight="1">
      <c r="A46" s="117" t="s">
        <v>64</v>
      </c>
      <c r="B46" s="117"/>
      <c r="C46" s="117" t="s">
        <v>106</v>
      </c>
      <c r="D46" s="117"/>
      <c r="E46" s="116" t="s">
        <v>66</v>
      </c>
      <c r="F46" s="116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17" t="s">
        <v>32</v>
      </c>
      <c r="B47" s="117"/>
      <c r="C47" s="117" t="s">
        <v>68</v>
      </c>
      <c r="D47" s="117"/>
      <c r="E47" s="118" t="s">
        <v>67</v>
      </c>
      <c r="F47" s="118"/>
      <c r="G47" s="4"/>
      <c r="H47" s="6"/>
      <c r="I47" s="4"/>
      <c r="J47" s="6"/>
      <c r="K47" s="4"/>
      <c r="L47" s="4"/>
      <c r="M47" s="4"/>
      <c r="N47" s="4"/>
      <c r="O47" s="4"/>
      <c r="P47" s="4"/>
    </row>
    <row r="48" spans="1:6" ht="14.25">
      <c r="A48" s="91"/>
      <c r="B48" s="91"/>
      <c r="C48" s="91"/>
      <c r="D48" s="91"/>
      <c r="E48" s="92"/>
      <c r="F48" s="92"/>
    </row>
    <row r="49" spans="1:7" ht="18.75">
      <c r="A49" s="130"/>
      <c r="B49" s="130"/>
      <c r="C49" s="130"/>
      <c r="D49" s="96"/>
      <c r="E49" s="97"/>
      <c r="F49" s="97"/>
      <c r="G49" s="102"/>
    </row>
    <row r="50" spans="1:10" ht="19.5">
      <c r="A50" s="65"/>
      <c r="B50" s="65"/>
      <c r="C50" s="65"/>
      <c r="D50" s="75"/>
      <c r="E50" s="89"/>
      <c r="F50" s="87"/>
      <c r="G50" s="102"/>
      <c r="I50" s="3">
        <v>8797</v>
      </c>
      <c r="J50" s="2">
        <v>207.72</v>
      </c>
    </row>
    <row r="51" spans="1:10" ht="19.5">
      <c r="A51" s="65"/>
      <c r="B51" s="65"/>
      <c r="C51" s="65"/>
      <c r="D51" s="75"/>
      <c r="E51" s="87"/>
      <c r="F51" s="87"/>
      <c r="G51" s="102"/>
      <c r="I51" s="3">
        <v>10485.54</v>
      </c>
      <c r="J51" s="2">
        <v>100000</v>
      </c>
    </row>
    <row r="52" spans="1:10" ht="19.5">
      <c r="A52" s="65"/>
      <c r="B52" s="65"/>
      <c r="C52" s="65"/>
      <c r="D52" s="75"/>
      <c r="E52" s="87"/>
      <c r="F52" s="87"/>
      <c r="G52" s="102"/>
      <c r="I52" s="3">
        <v>8150</v>
      </c>
      <c r="J52" s="2">
        <v>9603.93</v>
      </c>
    </row>
    <row r="53" spans="1:10" ht="19.5">
      <c r="A53" s="65"/>
      <c r="B53" s="65"/>
      <c r="C53" s="65"/>
      <c r="D53" s="75"/>
      <c r="E53" s="87"/>
      <c r="F53" s="87"/>
      <c r="G53" s="102"/>
      <c r="I53" s="3"/>
      <c r="J53" s="2">
        <v>8797</v>
      </c>
    </row>
    <row r="54" spans="1:10" ht="19.5">
      <c r="A54" s="65"/>
      <c r="B54" s="65"/>
      <c r="C54" s="65"/>
      <c r="D54" s="75"/>
      <c r="E54" s="87"/>
      <c r="F54" s="87"/>
      <c r="G54" s="102"/>
      <c r="H54" s="101">
        <v>2226576.45</v>
      </c>
      <c r="I54" s="3">
        <f>SUM(I50:I53)</f>
        <v>27432.54</v>
      </c>
      <c r="J54" s="2">
        <f>SUM(J50:J53)</f>
        <v>118608.65</v>
      </c>
    </row>
    <row r="55" spans="1:7" ht="19.5">
      <c r="A55" s="65"/>
      <c r="B55" s="65"/>
      <c r="C55" s="65"/>
      <c r="D55" s="75"/>
      <c r="E55" s="87"/>
      <c r="F55" s="87"/>
      <c r="G55" s="102"/>
    </row>
    <row r="56" spans="1:7" ht="19.5">
      <c r="A56" s="65"/>
      <c r="B56" s="65"/>
      <c r="C56" s="65"/>
      <c r="D56" s="75"/>
      <c r="E56" s="87"/>
      <c r="F56" s="87"/>
      <c r="G56" s="102"/>
    </row>
    <row r="57" spans="1:7" ht="19.5">
      <c r="A57" s="98"/>
      <c r="B57" s="65"/>
      <c r="C57" s="65"/>
      <c r="D57" s="75"/>
      <c r="E57" s="89"/>
      <c r="F57" s="87"/>
      <c r="G57" s="102"/>
    </row>
    <row r="58" spans="1:7" ht="19.5">
      <c r="A58" s="65"/>
      <c r="B58" s="65"/>
      <c r="C58" s="65"/>
      <c r="D58" s="75"/>
      <c r="E58" s="89"/>
      <c r="F58" s="87"/>
      <c r="G58" s="102"/>
    </row>
    <row r="59" spans="1:7" ht="19.5">
      <c r="A59" s="65"/>
      <c r="B59" s="65"/>
      <c r="C59" s="65"/>
      <c r="D59" s="75"/>
      <c r="E59" s="87"/>
      <c r="F59" s="87"/>
      <c r="G59" s="102"/>
    </row>
    <row r="60" spans="1:7" ht="19.5">
      <c r="A60" s="65"/>
      <c r="B60" s="65"/>
      <c r="C60" s="65"/>
      <c r="D60" s="75"/>
      <c r="E60" s="87"/>
      <c r="F60" s="87"/>
      <c r="G60" s="102"/>
    </row>
    <row r="61" spans="1:7" ht="19.5">
      <c r="A61" s="65"/>
      <c r="B61" s="65"/>
      <c r="C61" s="65"/>
      <c r="D61" s="75"/>
      <c r="E61" s="87"/>
      <c r="F61" s="103"/>
      <c r="G61" s="104"/>
    </row>
    <row r="62" spans="1:7" ht="19.5">
      <c r="A62" s="65"/>
      <c r="B62" s="65"/>
      <c r="C62" s="65"/>
      <c r="D62" s="75"/>
      <c r="E62" s="87"/>
      <c r="F62" s="87"/>
      <c r="G62" s="102"/>
    </row>
    <row r="63" spans="1:7" ht="19.5">
      <c r="A63" s="65"/>
      <c r="B63" s="65"/>
      <c r="C63" s="65"/>
      <c r="D63" s="75"/>
      <c r="E63" s="87"/>
      <c r="F63" s="87"/>
      <c r="G63" s="102"/>
    </row>
    <row r="64" spans="1:7" ht="19.5">
      <c r="A64" s="65"/>
      <c r="B64" s="65"/>
      <c r="C64" s="65"/>
      <c r="D64" s="75"/>
      <c r="E64" s="87"/>
      <c r="F64" s="87"/>
      <c r="G64" s="102"/>
    </row>
    <row r="65" spans="1:7" ht="19.5">
      <c r="A65" s="65"/>
      <c r="B65" s="65"/>
      <c r="C65" s="65"/>
      <c r="D65" s="75"/>
      <c r="E65" s="87"/>
      <c r="F65" s="87"/>
      <c r="G65" s="102"/>
    </row>
    <row r="66" spans="1:7" ht="19.5">
      <c r="A66" s="65"/>
      <c r="B66" s="65"/>
      <c r="C66" s="65"/>
      <c r="D66" s="75"/>
      <c r="E66" s="87"/>
      <c r="F66" s="87"/>
      <c r="G66" s="102"/>
    </row>
    <row r="67" spans="1:7" ht="19.5">
      <c r="A67" s="65"/>
      <c r="B67" s="65"/>
      <c r="C67" s="65"/>
      <c r="D67" s="75"/>
      <c r="E67" s="87"/>
      <c r="F67" s="87"/>
      <c r="G67" s="102"/>
    </row>
    <row r="68" spans="1:7" ht="19.5">
      <c r="A68" s="65"/>
      <c r="B68" s="65"/>
      <c r="C68" s="65"/>
      <c r="D68" s="75"/>
      <c r="E68" s="87"/>
      <c r="F68" s="87"/>
      <c r="G68" s="102"/>
    </row>
    <row r="69" spans="1:7" ht="19.5">
      <c r="A69" s="65"/>
      <c r="B69" s="65"/>
      <c r="C69" s="65"/>
      <c r="D69" s="75"/>
      <c r="E69" s="87"/>
      <c r="F69" s="87"/>
      <c r="G69" s="102"/>
    </row>
    <row r="70" spans="1:7" ht="19.5">
      <c r="A70" s="65"/>
      <c r="B70" s="65"/>
      <c r="C70" s="65"/>
      <c r="D70" s="75"/>
      <c r="E70" s="87"/>
      <c r="F70" s="87"/>
      <c r="G70" s="102"/>
    </row>
    <row r="71" spans="1:7" ht="19.5">
      <c r="A71" s="65"/>
      <c r="B71" s="65"/>
      <c r="C71" s="65"/>
      <c r="D71" s="75"/>
      <c r="E71" s="87"/>
      <c r="F71" s="87"/>
      <c r="G71" s="102"/>
    </row>
    <row r="72" spans="1:7" ht="19.5">
      <c r="A72" s="65"/>
      <c r="B72" s="65"/>
      <c r="C72" s="65"/>
      <c r="D72" s="75"/>
      <c r="E72" s="87"/>
      <c r="F72" s="87"/>
      <c r="G72" s="102"/>
    </row>
    <row r="73" spans="1:7" ht="19.5">
      <c r="A73" s="65"/>
      <c r="B73" s="65"/>
      <c r="C73" s="65"/>
      <c r="D73" s="75"/>
      <c r="E73" s="87"/>
      <c r="F73" s="105"/>
      <c r="G73" s="104"/>
    </row>
    <row r="74" spans="1:7" ht="19.5">
      <c r="A74" s="65"/>
      <c r="B74" s="65"/>
      <c r="C74" s="65"/>
      <c r="D74" s="75"/>
      <c r="E74" s="87"/>
      <c r="F74" s="106"/>
      <c r="G74" s="104"/>
    </row>
    <row r="75" spans="1:7" ht="19.5">
      <c r="A75" s="65"/>
      <c r="B75" s="65"/>
      <c r="C75" s="65"/>
      <c r="D75" s="75"/>
      <c r="E75" s="87"/>
      <c r="F75" s="105"/>
      <c r="G75" s="104"/>
    </row>
    <row r="76" spans="1:7" ht="19.5">
      <c r="A76" s="65"/>
      <c r="B76" s="65"/>
      <c r="C76" s="65"/>
      <c r="D76" s="75"/>
      <c r="E76" s="89"/>
      <c r="F76" s="87"/>
      <c r="G76" s="102"/>
    </row>
    <row r="77" spans="1:7" ht="19.5">
      <c r="A77" s="65"/>
      <c r="B77" s="65"/>
      <c r="C77" s="65"/>
      <c r="D77" s="75"/>
      <c r="E77" s="87"/>
      <c r="F77" s="105"/>
      <c r="G77" s="104"/>
    </row>
    <row r="78" spans="1:7" ht="19.5">
      <c r="A78" s="65"/>
      <c r="B78" s="65"/>
      <c r="C78" s="65"/>
      <c r="D78" s="75"/>
      <c r="E78" s="87"/>
      <c r="F78" s="105"/>
      <c r="G78" s="104"/>
    </row>
    <row r="79" spans="1:7" ht="19.5">
      <c r="A79" s="65"/>
      <c r="B79" s="65"/>
      <c r="C79" s="65"/>
      <c r="D79" s="75"/>
      <c r="E79" s="89"/>
      <c r="F79" s="87"/>
      <c r="G79" s="102"/>
    </row>
    <row r="80" spans="1:7" ht="19.5">
      <c r="A80" s="65"/>
      <c r="B80" s="65"/>
      <c r="C80" s="65"/>
      <c r="D80" s="75"/>
      <c r="E80" s="87"/>
      <c r="F80" s="105"/>
      <c r="G80" s="104"/>
    </row>
    <row r="81" spans="1:7" ht="19.5">
      <c r="A81" s="65"/>
      <c r="B81" s="65"/>
      <c r="C81" s="65"/>
      <c r="D81" s="75"/>
      <c r="E81" s="89"/>
      <c r="F81" s="87"/>
      <c r="G81" s="102"/>
    </row>
    <row r="82" spans="1:7" ht="19.5">
      <c r="A82" s="65"/>
      <c r="B82" s="65"/>
      <c r="C82" s="65"/>
      <c r="D82" s="75"/>
      <c r="E82" s="87"/>
      <c r="F82" s="105"/>
      <c r="G82" s="104"/>
    </row>
    <row r="83" spans="1:7" ht="19.5">
      <c r="A83" s="65"/>
      <c r="B83" s="65"/>
      <c r="C83" s="65"/>
      <c r="D83" s="75"/>
      <c r="E83" s="87"/>
      <c r="F83" s="105"/>
      <c r="G83" s="104"/>
    </row>
    <row r="84" spans="1:7" ht="19.5">
      <c r="A84" s="65"/>
      <c r="B84" s="65"/>
      <c r="C84" s="65"/>
      <c r="D84" s="75"/>
      <c r="E84" s="87"/>
      <c r="F84" s="105"/>
      <c r="G84" s="104"/>
    </row>
    <row r="85" spans="1:7" ht="19.5">
      <c r="A85" s="65"/>
      <c r="B85" s="65"/>
      <c r="C85" s="65"/>
      <c r="D85" s="75"/>
      <c r="E85" s="87"/>
      <c r="F85" s="87"/>
      <c r="G85" s="102"/>
    </row>
    <row r="86" spans="1:7" ht="19.5">
      <c r="A86" s="65"/>
      <c r="B86" s="65"/>
      <c r="C86" s="65"/>
      <c r="D86" s="75"/>
      <c r="E86" s="87"/>
      <c r="F86" s="87"/>
      <c r="G86" s="102"/>
    </row>
    <row r="87" spans="1:7" ht="19.5">
      <c r="A87" s="65"/>
      <c r="B87" s="65"/>
      <c r="C87" s="65"/>
      <c r="D87" s="75"/>
      <c r="E87" s="87"/>
      <c r="F87" s="87"/>
      <c r="G87" s="102"/>
    </row>
    <row r="88" spans="1:7" ht="21">
      <c r="A88" s="131"/>
      <c r="B88" s="131"/>
      <c r="C88" s="131"/>
      <c r="D88" s="49"/>
      <c r="E88" s="99"/>
      <c r="F88" s="99"/>
      <c r="G88" s="102"/>
    </row>
    <row r="89" spans="1:7" ht="12.75">
      <c r="A89" s="102"/>
      <c r="B89" s="102"/>
      <c r="C89" s="102"/>
      <c r="D89" s="102"/>
      <c r="E89" s="107"/>
      <c r="F89" s="107"/>
      <c r="G89" s="102"/>
    </row>
  </sheetData>
  <sheetProtection/>
  <mergeCells count="13">
    <mergeCell ref="A49:C49"/>
    <mergeCell ref="A88:C88"/>
    <mergeCell ref="E46:F46"/>
    <mergeCell ref="A47:B47"/>
    <mergeCell ref="C47:D47"/>
    <mergeCell ref="E47:F47"/>
    <mergeCell ref="A1:F1"/>
    <mergeCell ref="A2:F2"/>
    <mergeCell ref="A3:F3"/>
    <mergeCell ref="A4:C4"/>
    <mergeCell ref="A43:C43"/>
    <mergeCell ref="A46:B46"/>
    <mergeCell ref="C46:D46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SheetLayoutView="100" zoomScalePageLayoutView="0" workbookViewId="0" topLeftCell="A1">
      <selection activeCell="A5" sqref="A5:F48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3.57421875" style="0" customWidth="1"/>
    <col min="10" max="10" width="9.421875" style="2" customWidth="1"/>
    <col min="11" max="11" width="12.140625" style="0" customWidth="1"/>
    <col min="12" max="12" width="12.7109375" style="0" customWidth="1"/>
    <col min="13" max="13" width="19.00390625" style="0" customWidth="1"/>
    <col min="14" max="14" width="16.421875" style="0" customWidth="1"/>
  </cols>
  <sheetData>
    <row r="1" spans="1:16" s="7" customFormat="1" ht="19.5" customHeight="1">
      <c r="A1" s="119" t="s">
        <v>51</v>
      </c>
      <c r="B1" s="119"/>
      <c r="C1" s="119"/>
      <c r="D1" s="119"/>
      <c r="E1" s="119"/>
      <c r="F1" s="119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19" t="s">
        <v>83</v>
      </c>
      <c r="B2" s="119"/>
      <c r="C2" s="119"/>
      <c r="D2" s="119"/>
      <c r="E2" s="119"/>
      <c r="F2" s="119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20" t="s">
        <v>109</v>
      </c>
      <c r="B3" s="120"/>
      <c r="C3" s="120"/>
      <c r="D3" s="120"/>
      <c r="E3" s="120"/>
      <c r="F3" s="120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27" t="s">
        <v>1</v>
      </c>
      <c r="B4" s="128"/>
      <c r="C4" s="129"/>
      <c r="D4" s="80" t="s">
        <v>2</v>
      </c>
      <c r="E4" s="81" t="s">
        <v>3</v>
      </c>
      <c r="F4" s="81" t="s">
        <v>4</v>
      </c>
      <c r="G4" s="130"/>
      <c r="H4" s="130"/>
      <c r="I4" s="130"/>
      <c r="J4" s="96"/>
      <c r="K4" s="97"/>
      <c r="L4" s="97"/>
      <c r="M4" s="4"/>
      <c r="N4" s="4"/>
      <c r="O4" s="4"/>
      <c r="P4" s="4"/>
    </row>
    <row r="5" spans="1:12" s="22" customFormat="1" ht="16.5" customHeight="1">
      <c r="A5" s="58" t="s">
        <v>5</v>
      </c>
      <c r="B5" s="59"/>
      <c r="C5" s="60"/>
      <c r="D5" s="61" t="s">
        <v>17</v>
      </c>
      <c r="E5" s="70"/>
      <c r="F5" s="63"/>
      <c r="G5" s="65"/>
      <c r="H5" s="65"/>
      <c r="I5" s="65"/>
      <c r="J5" s="75"/>
      <c r="K5" s="89"/>
      <c r="L5" s="87"/>
    </row>
    <row r="6" spans="1:12" s="22" customFormat="1" ht="16.5" customHeight="1">
      <c r="A6" s="64" t="s">
        <v>52</v>
      </c>
      <c r="B6" s="65"/>
      <c r="C6" s="66"/>
      <c r="D6" s="67" t="s">
        <v>18</v>
      </c>
      <c r="E6" s="62">
        <v>14797593.01</v>
      </c>
      <c r="F6" s="62"/>
      <c r="G6" s="65"/>
      <c r="H6" s="65"/>
      <c r="I6" s="65"/>
      <c r="J6" s="75"/>
      <c r="K6" s="87"/>
      <c r="L6" s="87"/>
    </row>
    <row r="7" spans="1:12" s="22" customFormat="1" ht="16.5" customHeight="1">
      <c r="A7" s="64" t="s">
        <v>53</v>
      </c>
      <c r="B7" s="65"/>
      <c r="C7" s="66"/>
      <c r="D7" s="67" t="s">
        <v>18</v>
      </c>
      <c r="E7" s="62">
        <v>128049.97</v>
      </c>
      <c r="F7" s="62"/>
      <c r="G7" s="65"/>
      <c r="H7" s="65"/>
      <c r="I7" s="65"/>
      <c r="J7" s="75"/>
      <c r="K7" s="87"/>
      <c r="L7" s="87"/>
    </row>
    <row r="8" spans="1:12" s="22" customFormat="1" ht="16.5" customHeight="1">
      <c r="A8" s="64" t="s">
        <v>54</v>
      </c>
      <c r="B8" s="65"/>
      <c r="C8" s="66"/>
      <c r="D8" s="67" t="s">
        <v>18</v>
      </c>
      <c r="E8" s="62">
        <v>1074003.15</v>
      </c>
      <c r="F8" s="62"/>
      <c r="G8" s="65"/>
      <c r="H8" s="65"/>
      <c r="I8" s="65"/>
      <c r="J8" s="75"/>
      <c r="K8" s="87"/>
      <c r="L8" s="87"/>
    </row>
    <row r="9" spans="1:12" s="22" customFormat="1" ht="16.5" customHeight="1">
      <c r="A9" s="64" t="s">
        <v>55</v>
      </c>
      <c r="B9" s="65"/>
      <c r="C9" s="66"/>
      <c r="D9" s="67" t="s">
        <v>18</v>
      </c>
      <c r="E9" s="62">
        <v>13890.11</v>
      </c>
      <c r="F9" s="62"/>
      <c r="G9" s="65"/>
      <c r="H9" s="65"/>
      <c r="I9" s="65"/>
      <c r="J9" s="75"/>
      <c r="K9" s="87"/>
      <c r="L9" s="87"/>
    </row>
    <row r="10" spans="1:12" s="22" customFormat="1" ht="16.5" customHeight="1">
      <c r="A10" s="64" t="s">
        <v>56</v>
      </c>
      <c r="B10" s="65"/>
      <c r="C10" s="66"/>
      <c r="D10" s="67" t="s">
        <v>18</v>
      </c>
      <c r="E10" s="62">
        <v>12528.14</v>
      </c>
      <c r="F10" s="62"/>
      <c r="G10" s="65"/>
      <c r="H10" s="65"/>
      <c r="I10" s="65"/>
      <c r="J10" s="75"/>
      <c r="K10" s="87"/>
      <c r="L10" s="87"/>
    </row>
    <row r="11" spans="1:12" s="22" customFormat="1" ht="16.5" customHeight="1">
      <c r="A11" s="64" t="s">
        <v>57</v>
      </c>
      <c r="B11" s="65"/>
      <c r="C11" s="66"/>
      <c r="D11" s="67" t="s">
        <v>18</v>
      </c>
      <c r="E11" s="62">
        <v>12710402.04</v>
      </c>
      <c r="F11" s="62"/>
      <c r="G11" s="65"/>
      <c r="H11" s="65"/>
      <c r="I11" s="65"/>
      <c r="J11" s="75"/>
      <c r="K11" s="87"/>
      <c r="L11" s="87"/>
    </row>
    <row r="12" spans="1:12" s="22" customFormat="1" ht="16.5" customHeight="1">
      <c r="A12" s="74" t="s">
        <v>58</v>
      </c>
      <c r="B12" s="65"/>
      <c r="C12" s="66"/>
      <c r="D12" s="67" t="s">
        <v>19</v>
      </c>
      <c r="E12" s="70">
        <v>921312.44</v>
      </c>
      <c r="F12" s="62"/>
      <c r="G12" s="98"/>
      <c r="H12" s="65"/>
      <c r="I12" s="65"/>
      <c r="J12" s="75"/>
      <c r="K12" s="89"/>
      <c r="L12" s="87"/>
    </row>
    <row r="13" spans="1:12" s="22" customFormat="1" ht="16.5" customHeight="1">
      <c r="A13" s="64" t="s">
        <v>59</v>
      </c>
      <c r="B13" s="65"/>
      <c r="C13" s="66"/>
      <c r="D13" s="67" t="s">
        <v>19</v>
      </c>
      <c r="E13" s="70" t="s">
        <v>97</v>
      </c>
      <c r="F13" s="62"/>
      <c r="G13" s="65"/>
      <c r="H13" s="65"/>
      <c r="I13" s="65"/>
      <c r="J13" s="75"/>
      <c r="K13" s="89"/>
      <c r="L13" s="87"/>
    </row>
    <row r="14" spans="1:12" s="22" customFormat="1" ht="16.5" customHeight="1">
      <c r="A14" s="64" t="s">
        <v>88</v>
      </c>
      <c r="B14" s="65"/>
      <c r="C14" s="66"/>
      <c r="D14" s="67"/>
      <c r="E14" s="62">
        <v>28750</v>
      </c>
      <c r="F14" s="62"/>
      <c r="G14" s="65"/>
      <c r="H14" s="65"/>
      <c r="I14" s="65"/>
      <c r="J14" s="75"/>
      <c r="K14" s="87"/>
      <c r="L14" s="87"/>
    </row>
    <row r="15" spans="1:12" s="22" customFormat="1" ht="16.5" customHeight="1">
      <c r="A15" s="64" t="s">
        <v>89</v>
      </c>
      <c r="B15" s="65"/>
      <c r="C15" s="66"/>
      <c r="D15" s="67" t="s">
        <v>20</v>
      </c>
      <c r="E15" s="62">
        <v>63719.17</v>
      </c>
      <c r="F15" s="62"/>
      <c r="G15" s="65"/>
      <c r="H15" s="65"/>
      <c r="I15" s="65"/>
      <c r="J15" s="75"/>
      <c r="K15" s="87"/>
      <c r="L15" s="87"/>
    </row>
    <row r="16" spans="1:12" s="22" customFormat="1" ht="16.5" customHeight="1">
      <c r="A16" s="64" t="s">
        <v>60</v>
      </c>
      <c r="B16" s="65"/>
      <c r="C16" s="66"/>
      <c r="D16" s="67" t="s">
        <v>41</v>
      </c>
      <c r="E16" s="62">
        <v>12288</v>
      </c>
      <c r="F16" s="62"/>
      <c r="G16" s="65"/>
      <c r="H16" s="65"/>
      <c r="I16" s="65"/>
      <c r="J16" s="75"/>
      <c r="K16" s="87"/>
      <c r="L16" s="87"/>
    </row>
    <row r="17" spans="1:12" s="22" customFormat="1" ht="16.5" customHeight="1">
      <c r="A17" s="64" t="s">
        <v>94</v>
      </c>
      <c r="B17" s="65"/>
      <c r="C17" s="66"/>
      <c r="D17" s="67" t="s">
        <v>30</v>
      </c>
      <c r="E17" s="62">
        <v>24000</v>
      </c>
      <c r="F17" s="62"/>
      <c r="G17" s="65"/>
      <c r="H17" s="65"/>
      <c r="I17" s="65"/>
      <c r="J17" s="75"/>
      <c r="K17" s="87"/>
      <c r="L17" s="87"/>
    </row>
    <row r="18" spans="1:12" s="22" customFormat="1" ht="16.5" customHeight="1">
      <c r="A18" s="64" t="s">
        <v>93</v>
      </c>
      <c r="B18" s="65"/>
      <c r="C18" s="66"/>
      <c r="D18" s="67" t="s">
        <v>42</v>
      </c>
      <c r="E18" s="62">
        <v>24000</v>
      </c>
      <c r="F18" s="62"/>
      <c r="G18" s="65"/>
      <c r="H18" s="65"/>
      <c r="I18" s="65"/>
      <c r="J18" s="75"/>
      <c r="K18" s="87"/>
      <c r="L18" s="87"/>
    </row>
    <row r="19" spans="1:12" s="22" customFormat="1" ht="16.5" customHeight="1">
      <c r="A19" s="64" t="s">
        <v>36</v>
      </c>
      <c r="B19" s="65"/>
      <c r="C19" s="66"/>
      <c r="D19" s="67" t="s">
        <v>43</v>
      </c>
      <c r="E19" s="62"/>
      <c r="F19" s="62">
        <v>27148396.77</v>
      </c>
      <c r="G19" s="65"/>
      <c r="H19" s="65"/>
      <c r="I19" s="65"/>
      <c r="J19" s="75"/>
      <c r="K19" s="87"/>
      <c r="L19" s="87"/>
    </row>
    <row r="20" spans="1:12" s="22" customFormat="1" ht="16.5" customHeight="1">
      <c r="A20" s="64" t="s">
        <v>62</v>
      </c>
      <c r="B20" s="65"/>
      <c r="C20" s="66"/>
      <c r="D20" s="67" t="s">
        <v>44</v>
      </c>
      <c r="E20" s="62"/>
      <c r="F20" s="62">
        <v>489388.95</v>
      </c>
      <c r="G20" s="65"/>
      <c r="H20" s="65"/>
      <c r="I20" s="65"/>
      <c r="J20" s="75"/>
      <c r="K20" s="87"/>
      <c r="L20" s="87"/>
    </row>
    <row r="21" spans="1:12" s="22" customFormat="1" ht="16.5" customHeight="1">
      <c r="A21" s="64" t="s">
        <v>37</v>
      </c>
      <c r="B21" s="65"/>
      <c r="C21" s="66"/>
      <c r="D21" s="67" t="s">
        <v>45</v>
      </c>
      <c r="E21" s="62"/>
      <c r="F21" s="62">
        <v>9000</v>
      </c>
      <c r="G21" s="65"/>
      <c r="H21" s="65"/>
      <c r="I21" s="65"/>
      <c r="J21" s="75"/>
      <c r="K21" s="87"/>
      <c r="L21" s="87"/>
    </row>
    <row r="22" spans="1:12" s="22" customFormat="1" ht="16.5" customHeight="1">
      <c r="A22" s="64" t="s">
        <v>15</v>
      </c>
      <c r="B22" s="65"/>
      <c r="C22" s="66"/>
      <c r="D22" s="67"/>
      <c r="E22" s="62"/>
      <c r="F22" s="62">
        <v>2317752.56</v>
      </c>
      <c r="G22" s="65"/>
      <c r="H22" s="65"/>
      <c r="I22" s="65"/>
      <c r="J22" s="75"/>
      <c r="K22" s="87"/>
      <c r="L22" s="87"/>
    </row>
    <row r="23" spans="1:12" s="22" customFormat="1" ht="16.5" customHeight="1">
      <c r="A23" s="64" t="s">
        <v>90</v>
      </c>
      <c r="B23" s="65"/>
      <c r="C23" s="66"/>
      <c r="D23" s="67"/>
      <c r="E23" s="62"/>
      <c r="F23" s="62">
        <v>540910</v>
      </c>
      <c r="G23" s="65"/>
      <c r="H23" s="65"/>
      <c r="I23" s="65"/>
      <c r="J23" s="75"/>
      <c r="K23" s="87"/>
      <c r="L23" s="87"/>
    </row>
    <row r="24" spans="1:12" s="22" customFormat="1" ht="16.5" customHeight="1">
      <c r="A24" s="64" t="s">
        <v>95</v>
      </c>
      <c r="B24" s="65"/>
      <c r="C24" s="66"/>
      <c r="D24" s="67" t="s">
        <v>46</v>
      </c>
      <c r="E24" s="62"/>
      <c r="F24" s="62">
        <v>24000</v>
      </c>
      <c r="G24" s="65"/>
      <c r="H24" s="65"/>
      <c r="I24" s="65"/>
      <c r="J24" s="75"/>
      <c r="K24" s="87"/>
      <c r="L24" s="87"/>
    </row>
    <row r="25" spans="1:12" s="22" customFormat="1" ht="16.5" customHeight="1">
      <c r="A25" s="64" t="s">
        <v>39</v>
      </c>
      <c r="B25" s="65"/>
      <c r="C25" s="66"/>
      <c r="D25" s="67" t="s">
        <v>29</v>
      </c>
      <c r="E25" s="62"/>
      <c r="F25" s="62">
        <v>4713749.31</v>
      </c>
      <c r="G25" s="65"/>
      <c r="H25" s="65"/>
      <c r="I25" s="65"/>
      <c r="J25" s="75"/>
      <c r="K25" s="87"/>
      <c r="L25" s="87"/>
    </row>
    <row r="26" spans="1:12" s="22" customFormat="1" ht="16.5" customHeight="1">
      <c r="A26" s="64" t="s">
        <v>40</v>
      </c>
      <c r="B26" s="65"/>
      <c r="C26" s="66"/>
      <c r="D26" s="67" t="s">
        <v>31</v>
      </c>
      <c r="E26" s="62"/>
      <c r="F26" s="62">
        <v>12097243.59</v>
      </c>
      <c r="G26" s="65"/>
      <c r="H26" s="62">
        <v>5433474</v>
      </c>
      <c r="I26" s="65"/>
      <c r="J26" s="75"/>
      <c r="K26" s="87"/>
      <c r="L26" s="87"/>
    </row>
    <row r="27" spans="1:12" s="22" customFormat="1" ht="16.5" customHeight="1">
      <c r="A27" s="64" t="s">
        <v>99</v>
      </c>
      <c r="B27" s="65"/>
      <c r="C27" s="66"/>
      <c r="D27" s="67" t="s">
        <v>47</v>
      </c>
      <c r="E27" s="62" t="s">
        <v>97</v>
      </c>
      <c r="F27" s="62"/>
      <c r="G27" s="65"/>
      <c r="H27" s="62">
        <v>1667718</v>
      </c>
      <c r="I27" s="65"/>
      <c r="J27" s="75"/>
      <c r="K27" s="87"/>
      <c r="L27" s="87"/>
    </row>
    <row r="28" spans="1:13" s="22" customFormat="1" ht="16.5" customHeight="1">
      <c r="A28" s="64" t="s">
        <v>14</v>
      </c>
      <c r="B28" s="65"/>
      <c r="C28" s="66"/>
      <c r="D28" s="67" t="s">
        <v>74</v>
      </c>
      <c r="E28" s="62">
        <v>5433474</v>
      </c>
      <c r="F28" s="62"/>
      <c r="G28" s="65"/>
      <c r="H28" s="62">
        <v>4326996.07</v>
      </c>
      <c r="I28" s="65"/>
      <c r="J28" s="75"/>
      <c r="K28" s="87"/>
      <c r="L28" s="87"/>
      <c r="M28" s="94">
        <f>SUM(K28:L28)</f>
        <v>0</v>
      </c>
    </row>
    <row r="29" spans="1:13" s="22" customFormat="1" ht="16.5" customHeight="1">
      <c r="A29" s="64" t="s">
        <v>78</v>
      </c>
      <c r="B29" s="65"/>
      <c r="C29" s="66"/>
      <c r="D29" s="67" t="s">
        <v>48</v>
      </c>
      <c r="E29" s="62">
        <v>1667718</v>
      </c>
      <c r="F29" s="62"/>
      <c r="G29" s="65"/>
      <c r="H29" s="70" t="s">
        <v>97</v>
      </c>
      <c r="I29" s="65"/>
      <c r="J29" s="75"/>
      <c r="K29" s="87"/>
      <c r="L29" s="87"/>
      <c r="M29" s="94">
        <f>SUM(K29:L29)</f>
        <v>0</v>
      </c>
    </row>
    <row r="30" spans="1:13" s="22" customFormat="1" ht="16.5" customHeight="1">
      <c r="A30" s="64" t="s">
        <v>79</v>
      </c>
      <c r="B30" s="65"/>
      <c r="C30" s="66"/>
      <c r="D30" s="67" t="s">
        <v>21</v>
      </c>
      <c r="E30" s="62">
        <v>4326996.07</v>
      </c>
      <c r="F30" s="62"/>
      <c r="G30" s="65"/>
      <c r="H30" s="62">
        <v>156485.25</v>
      </c>
      <c r="I30" s="65"/>
      <c r="J30" s="75"/>
      <c r="K30" s="87"/>
      <c r="L30" s="87"/>
      <c r="M30" s="94">
        <f>SUM(K30:L30)</f>
        <v>0</v>
      </c>
    </row>
    <row r="31" spans="1:13" s="22" customFormat="1" ht="16.5" customHeight="1">
      <c r="A31" s="64" t="s">
        <v>71</v>
      </c>
      <c r="B31" s="65"/>
      <c r="C31" s="66"/>
      <c r="D31" s="67" t="s">
        <v>75</v>
      </c>
      <c r="E31" s="70" t="s">
        <v>97</v>
      </c>
      <c r="F31" s="62"/>
      <c r="G31" s="65"/>
      <c r="H31" s="62">
        <v>2013685.76</v>
      </c>
      <c r="I31" s="65"/>
      <c r="J31" s="75"/>
      <c r="K31" s="89"/>
      <c r="L31" s="87"/>
      <c r="M31" s="95"/>
    </row>
    <row r="32" spans="1:13" s="22" customFormat="1" ht="16.5" customHeight="1">
      <c r="A32" s="64" t="s">
        <v>7</v>
      </c>
      <c r="B32" s="65"/>
      <c r="C32" s="66"/>
      <c r="D32" s="67" t="s">
        <v>22</v>
      </c>
      <c r="E32" s="62">
        <v>156485.25</v>
      </c>
      <c r="F32" s="62"/>
      <c r="G32" s="65"/>
      <c r="H32" s="70" t="s">
        <v>97</v>
      </c>
      <c r="I32" s="65"/>
      <c r="J32" s="75"/>
      <c r="K32" s="87"/>
      <c r="L32" s="87"/>
      <c r="M32" s="94">
        <f>SUM(K32:L32)</f>
        <v>0</v>
      </c>
    </row>
    <row r="33" spans="1:13" s="22" customFormat="1" ht="16.5" customHeight="1">
      <c r="A33" s="64" t="s">
        <v>8</v>
      </c>
      <c r="B33" s="65"/>
      <c r="C33" s="66"/>
      <c r="D33" s="67" t="s">
        <v>23</v>
      </c>
      <c r="E33" s="62">
        <v>2013685.76</v>
      </c>
      <c r="F33" s="62"/>
      <c r="G33" s="65"/>
      <c r="H33" s="62">
        <v>1031539.86</v>
      </c>
      <c r="I33" s="65"/>
      <c r="J33" s="75"/>
      <c r="K33" s="87"/>
      <c r="L33" s="87"/>
      <c r="M33" s="94">
        <f>SUM(K33:L33)</f>
        <v>0</v>
      </c>
    </row>
    <row r="34" spans="1:13" s="22" customFormat="1" ht="16.5" customHeight="1">
      <c r="A34" s="64" t="s">
        <v>72</v>
      </c>
      <c r="B34" s="65"/>
      <c r="C34" s="66"/>
      <c r="D34" s="67" t="s">
        <v>76</v>
      </c>
      <c r="E34" s="70" t="s">
        <v>97</v>
      </c>
      <c r="F34" s="62"/>
      <c r="G34" s="65"/>
      <c r="H34" s="70" t="s">
        <v>97</v>
      </c>
      <c r="I34" s="65"/>
      <c r="J34" s="75"/>
      <c r="K34" s="89"/>
      <c r="L34" s="87"/>
      <c r="M34" s="95"/>
    </row>
    <row r="35" spans="1:13" s="22" customFormat="1" ht="16.5" customHeight="1">
      <c r="A35" s="64" t="s">
        <v>9</v>
      </c>
      <c r="B35" s="65"/>
      <c r="C35" s="66"/>
      <c r="D35" s="67" t="s">
        <v>24</v>
      </c>
      <c r="E35" s="62">
        <v>1031539.86</v>
      </c>
      <c r="F35" s="62"/>
      <c r="G35" s="65"/>
      <c r="H35" s="62">
        <v>280287.91</v>
      </c>
      <c r="I35" s="65"/>
      <c r="J35" s="75"/>
      <c r="K35" s="87"/>
      <c r="L35" s="87"/>
      <c r="M35" s="94">
        <f>SUM(K35:L35)</f>
        <v>0</v>
      </c>
    </row>
    <row r="36" spans="1:13" s="22" customFormat="1" ht="16.5" customHeight="1">
      <c r="A36" s="64" t="s">
        <v>73</v>
      </c>
      <c r="B36" s="65"/>
      <c r="C36" s="66"/>
      <c r="D36" s="67" t="s">
        <v>77</v>
      </c>
      <c r="E36" s="70" t="s">
        <v>97</v>
      </c>
      <c r="F36" s="62"/>
      <c r="G36" s="65"/>
      <c r="H36" s="62">
        <v>190818.3</v>
      </c>
      <c r="I36" s="65"/>
      <c r="J36" s="75"/>
      <c r="K36" s="89"/>
      <c r="L36" s="87"/>
      <c r="M36" s="95"/>
    </row>
    <row r="37" spans="1:13" s="22" customFormat="1" ht="16.5" customHeight="1">
      <c r="A37" s="64" t="s">
        <v>10</v>
      </c>
      <c r="B37" s="65"/>
      <c r="C37" s="66"/>
      <c r="D37" s="67" t="s">
        <v>25</v>
      </c>
      <c r="E37" s="62">
        <v>280287.91</v>
      </c>
      <c r="F37" s="62"/>
      <c r="G37" s="65"/>
      <c r="H37" s="62">
        <v>1011900</v>
      </c>
      <c r="I37" s="65"/>
      <c r="J37" s="75"/>
      <c r="K37" s="87"/>
      <c r="L37" s="87"/>
      <c r="M37" s="94">
        <f>SUM(K37:L37)</f>
        <v>0</v>
      </c>
    </row>
    <row r="38" spans="1:13" s="22" customFormat="1" ht="16.5" customHeight="1">
      <c r="A38" s="64" t="s">
        <v>12</v>
      </c>
      <c r="B38" s="65"/>
      <c r="C38" s="66"/>
      <c r="D38" s="67" t="s">
        <v>27</v>
      </c>
      <c r="E38" s="62">
        <v>190818.3</v>
      </c>
      <c r="F38" s="62"/>
      <c r="G38" s="65"/>
      <c r="H38" s="62"/>
      <c r="I38" s="65"/>
      <c r="J38" s="75"/>
      <c r="K38" s="87"/>
      <c r="L38" s="87"/>
      <c r="M38" s="94">
        <f>SUM(K38:L38)</f>
        <v>0</v>
      </c>
    </row>
    <row r="39" spans="1:13" s="22" customFormat="1" ht="16.5" customHeight="1">
      <c r="A39" s="64" t="s">
        <v>13</v>
      </c>
      <c r="B39" s="65"/>
      <c r="C39" s="66"/>
      <c r="D39" s="67" t="s">
        <v>28</v>
      </c>
      <c r="E39" s="62">
        <v>1011900</v>
      </c>
      <c r="F39" s="62"/>
      <c r="G39" s="65"/>
      <c r="H39" s="62">
        <v>1387000</v>
      </c>
      <c r="I39" s="65"/>
      <c r="J39" s="75"/>
      <c r="K39" s="87"/>
      <c r="L39" s="87"/>
      <c r="M39" s="28">
        <f>SUM(K39:L39)</f>
        <v>0</v>
      </c>
    </row>
    <row r="40" spans="1:12" s="22" customFormat="1" ht="16.5" customHeight="1">
      <c r="A40" s="64" t="s">
        <v>84</v>
      </c>
      <c r="B40" s="65"/>
      <c r="C40" s="66"/>
      <c r="D40" s="67" t="s">
        <v>26</v>
      </c>
      <c r="E40" s="62"/>
      <c r="F40" s="62"/>
      <c r="G40" s="65"/>
      <c r="H40" s="62">
        <v>30000</v>
      </c>
      <c r="I40" s="65"/>
      <c r="J40" s="75"/>
      <c r="K40" s="87"/>
      <c r="L40" s="87"/>
    </row>
    <row r="41" spans="1:12" s="22" customFormat="1" ht="16.5" customHeight="1">
      <c r="A41" s="64" t="s">
        <v>11</v>
      </c>
      <c r="B41" s="65"/>
      <c r="C41" s="66"/>
      <c r="D41" s="67"/>
      <c r="E41" s="62">
        <v>1387000</v>
      </c>
      <c r="F41" s="62"/>
      <c r="G41" s="65"/>
      <c r="H41" s="94">
        <f>SUM(H26:H40)</f>
        <v>17529905.15</v>
      </c>
      <c r="I41" s="65"/>
      <c r="J41" s="75"/>
      <c r="K41" s="87"/>
      <c r="L41" s="87"/>
    </row>
    <row r="42" spans="1:12" s="22" customFormat="1" ht="16.5" customHeight="1">
      <c r="A42" s="71" t="s">
        <v>98</v>
      </c>
      <c r="B42" s="72"/>
      <c r="C42" s="73"/>
      <c r="D42" s="67"/>
      <c r="E42" s="62">
        <v>30000</v>
      </c>
      <c r="F42" s="93"/>
      <c r="G42" s="65"/>
      <c r="I42" s="65"/>
      <c r="J42" s="75"/>
      <c r="K42" s="87"/>
      <c r="L42" s="87"/>
    </row>
    <row r="43" spans="1:12" s="22" customFormat="1" ht="18.75" customHeight="1" thickBot="1">
      <c r="A43" s="122" t="s">
        <v>16</v>
      </c>
      <c r="B43" s="123"/>
      <c r="C43" s="124"/>
      <c r="D43" s="46"/>
      <c r="E43" s="79">
        <f>SUM(E6:E42)</f>
        <v>47340441.17999999</v>
      </c>
      <c r="F43" s="79">
        <f>SUM(F19:F42)</f>
        <v>47340441.17999999</v>
      </c>
      <c r="G43" s="131"/>
      <c r="H43" s="131"/>
      <c r="I43" s="131"/>
      <c r="J43" s="49"/>
      <c r="K43" s="99"/>
      <c r="L43" s="99"/>
    </row>
    <row r="44" spans="1:16" s="7" customFormat="1" ht="16.5" customHeight="1" thickTop="1">
      <c r="A44" s="82"/>
      <c r="B44" s="82"/>
      <c r="C44" s="82"/>
      <c r="D44" s="83"/>
      <c r="E44" s="84"/>
      <c r="F44" s="84"/>
      <c r="G44" s="82"/>
      <c r="H44" s="82"/>
      <c r="I44" s="82"/>
      <c r="J44" s="83"/>
      <c r="K44" s="84"/>
      <c r="L44" s="84"/>
      <c r="M44" s="4"/>
      <c r="N44" s="4"/>
      <c r="O44" s="4"/>
      <c r="P44" s="4"/>
    </row>
    <row r="45" spans="1:16" s="7" customFormat="1" ht="21" customHeight="1">
      <c r="A45" s="77" t="s">
        <v>33</v>
      </c>
      <c r="B45" s="77"/>
      <c r="C45" s="77" t="s">
        <v>34</v>
      </c>
      <c r="D45" s="77"/>
      <c r="E45" s="77" t="s">
        <v>35</v>
      </c>
      <c r="F45" s="77"/>
      <c r="G45" s="77" t="s">
        <v>33</v>
      </c>
      <c r="H45" s="77"/>
      <c r="I45" s="77" t="s">
        <v>34</v>
      </c>
      <c r="J45" s="77"/>
      <c r="K45" s="77" t="s">
        <v>35</v>
      </c>
      <c r="L45" s="77"/>
      <c r="M45" s="4"/>
      <c r="N45" s="4"/>
      <c r="O45" s="4"/>
      <c r="P45" s="4"/>
    </row>
    <row r="46" spans="1:16" s="7" customFormat="1" ht="18" customHeight="1">
      <c r="A46" s="117" t="s">
        <v>64</v>
      </c>
      <c r="B46" s="117"/>
      <c r="C46" s="117" t="s">
        <v>106</v>
      </c>
      <c r="D46" s="117"/>
      <c r="E46" s="116" t="s">
        <v>66</v>
      </c>
      <c r="F46" s="116"/>
      <c r="G46" s="117" t="s">
        <v>64</v>
      </c>
      <c r="H46" s="117"/>
      <c r="I46" s="117" t="s">
        <v>106</v>
      </c>
      <c r="J46" s="117"/>
      <c r="K46" s="116" t="s">
        <v>66</v>
      </c>
      <c r="L46" s="116"/>
      <c r="M46" s="4"/>
      <c r="N46" s="4"/>
      <c r="O46" s="4"/>
      <c r="P46" s="4"/>
    </row>
    <row r="47" spans="1:16" s="7" customFormat="1" ht="18" customHeight="1">
      <c r="A47" s="117" t="s">
        <v>32</v>
      </c>
      <c r="B47" s="117"/>
      <c r="C47" s="117" t="s">
        <v>68</v>
      </c>
      <c r="D47" s="117"/>
      <c r="E47" s="118" t="s">
        <v>67</v>
      </c>
      <c r="F47" s="118"/>
      <c r="G47" s="117" t="s">
        <v>32</v>
      </c>
      <c r="H47" s="117"/>
      <c r="I47" s="117" t="s">
        <v>68</v>
      </c>
      <c r="J47" s="117"/>
      <c r="K47" s="118" t="s">
        <v>67</v>
      </c>
      <c r="L47" s="118"/>
      <c r="M47" s="4"/>
      <c r="N47" s="4"/>
      <c r="O47" s="4"/>
      <c r="P47" s="4"/>
    </row>
    <row r="48" spans="1:12" ht="14.25">
      <c r="A48" s="91"/>
      <c r="B48" s="91"/>
      <c r="C48" s="91"/>
      <c r="D48" s="91"/>
      <c r="E48" s="92"/>
      <c r="F48" s="92"/>
      <c r="G48" s="91"/>
      <c r="H48" s="91"/>
      <c r="I48" s="91"/>
      <c r="J48" s="91"/>
      <c r="K48" s="92"/>
      <c r="L48" s="92"/>
    </row>
    <row r="50" spans="3:4" ht="12.75">
      <c r="C50" s="3">
        <v>207.72</v>
      </c>
      <c r="D50" s="3">
        <v>8797</v>
      </c>
    </row>
    <row r="51" spans="3:4" ht="12.75">
      <c r="C51" s="3">
        <v>100000</v>
      </c>
      <c r="D51" s="3">
        <v>10485.54</v>
      </c>
    </row>
    <row r="52" spans="3:4" ht="12.75">
      <c r="C52" s="3">
        <v>9603.93</v>
      </c>
      <c r="D52" s="3">
        <v>8150</v>
      </c>
    </row>
    <row r="53" spans="3:4" ht="12.75">
      <c r="C53" s="3">
        <v>8797</v>
      </c>
      <c r="D53" s="3"/>
    </row>
    <row r="54" spans="3:4" ht="12.75">
      <c r="C54" s="3"/>
      <c r="D54" s="3"/>
    </row>
    <row r="55" spans="3:4" ht="12.75">
      <c r="C55" s="3">
        <f>SUM(C50:C54)</f>
        <v>118608.65</v>
      </c>
      <c r="D55" s="3">
        <f>SUM(D50:D54)</f>
        <v>27432.54</v>
      </c>
    </row>
  </sheetData>
  <sheetProtection/>
  <mergeCells count="19">
    <mergeCell ref="G47:H47"/>
    <mergeCell ref="I47:J47"/>
    <mergeCell ref="K47:L47"/>
    <mergeCell ref="E46:F46"/>
    <mergeCell ref="G4:I4"/>
    <mergeCell ref="G43:I43"/>
    <mergeCell ref="G46:H46"/>
    <mergeCell ref="I46:J46"/>
    <mergeCell ref="K46:L46"/>
    <mergeCell ref="A47:B47"/>
    <mergeCell ref="C47:D47"/>
    <mergeCell ref="E47:F47"/>
    <mergeCell ref="A1:F1"/>
    <mergeCell ref="A2:F2"/>
    <mergeCell ref="A3:F3"/>
    <mergeCell ref="A4:C4"/>
    <mergeCell ref="A43:C43"/>
    <mergeCell ref="A46:B46"/>
    <mergeCell ref="C46:D46"/>
  </mergeCells>
  <printOptions/>
  <pageMargins left="0.36" right="0.26" top="0.19" bottom="0.17" header="0.14" footer="0.1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selection activeCell="E6" sqref="E6:F42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7.7109375" style="0" customWidth="1"/>
    <col min="4" max="4" width="12.57421875" style="0" customWidth="1"/>
    <col min="5" max="5" width="19.421875" style="3" customWidth="1"/>
    <col min="6" max="6" width="17.57421875" style="3" customWidth="1"/>
    <col min="7" max="7" width="20.7109375" style="0" customWidth="1"/>
    <col min="8" max="8" width="15.421875" style="1" customWidth="1"/>
    <col min="9" max="9" width="19.421875" style="0" customWidth="1"/>
    <col min="10" max="10" width="14.00390625" style="2" bestFit="1" customWidth="1"/>
  </cols>
  <sheetData>
    <row r="1" spans="1:16" s="7" customFormat="1" ht="19.5" customHeight="1">
      <c r="A1" s="134" t="s">
        <v>51</v>
      </c>
      <c r="B1" s="134"/>
      <c r="C1" s="134"/>
      <c r="D1" s="134"/>
      <c r="E1" s="134"/>
      <c r="F1" s="134"/>
      <c r="G1" s="4"/>
      <c r="H1" s="5" t="s">
        <v>0</v>
      </c>
      <c r="I1" s="4"/>
      <c r="J1" s="6"/>
      <c r="K1" s="4"/>
      <c r="L1" s="4"/>
      <c r="M1" s="4"/>
      <c r="N1" s="4"/>
      <c r="O1" s="4"/>
      <c r="P1" s="4"/>
    </row>
    <row r="2" spans="1:16" s="7" customFormat="1" ht="19.5" customHeight="1">
      <c r="A2" s="134" t="s">
        <v>83</v>
      </c>
      <c r="B2" s="134"/>
      <c r="C2" s="134"/>
      <c r="D2" s="134"/>
      <c r="E2" s="134"/>
      <c r="F2" s="134"/>
      <c r="G2" s="4"/>
      <c r="H2" s="6"/>
      <c r="I2" s="4"/>
      <c r="J2" s="6"/>
      <c r="K2" s="4"/>
      <c r="L2" s="4"/>
      <c r="M2" s="4"/>
      <c r="N2" s="4"/>
      <c r="O2" s="4"/>
      <c r="P2" s="4"/>
    </row>
    <row r="3" spans="1:16" s="7" customFormat="1" ht="19.5" customHeight="1">
      <c r="A3" s="135" t="s">
        <v>110</v>
      </c>
      <c r="B3" s="135"/>
      <c r="C3" s="135"/>
      <c r="D3" s="135"/>
      <c r="E3" s="135"/>
      <c r="F3" s="135"/>
      <c r="G3" s="4"/>
      <c r="H3" s="6"/>
      <c r="I3" s="4"/>
      <c r="J3" s="6"/>
      <c r="K3" s="4"/>
      <c r="L3" s="4"/>
      <c r="M3" s="4"/>
      <c r="N3" s="4"/>
      <c r="O3" s="4"/>
      <c r="P3" s="4"/>
    </row>
    <row r="4" spans="1:16" s="7" customFormat="1" ht="21" customHeight="1">
      <c r="A4" s="136" t="s">
        <v>1</v>
      </c>
      <c r="B4" s="137"/>
      <c r="C4" s="138"/>
      <c r="D4" s="8" t="s">
        <v>2</v>
      </c>
      <c r="E4" s="9" t="s">
        <v>3</v>
      </c>
      <c r="F4" s="9" t="s">
        <v>4</v>
      </c>
      <c r="G4" s="4"/>
      <c r="H4" s="6"/>
      <c r="I4" s="4"/>
      <c r="J4" s="6"/>
      <c r="K4" s="4"/>
      <c r="L4" s="4"/>
      <c r="M4" s="4"/>
      <c r="N4" s="4"/>
      <c r="O4" s="4"/>
      <c r="P4" s="4"/>
    </row>
    <row r="5" spans="1:10" s="22" customFormat="1" ht="16.5" customHeight="1">
      <c r="A5" s="58" t="s">
        <v>5</v>
      </c>
      <c r="B5" s="59"/>
      <c r="C5" s="60"/>
      <c r="D5" s="61" t="s">
        <v>17</v>
      </c>
      <c r="E5" s="70"/>
      <c r="F5" s="63"/>
      <c r="H5" s="23"/>
      <c r="J5" s="23"/>
    </row>
    <row r="6" spans="1:10" s="22" customFormat="1" ht="16.5" customHeight="1">
      <c r="A6" s="64" t="s">
        <v>52</v>
      </c>
      <c r="B6" s="65"/>
      <c r="C6" s="66"/>
      <c r="D6" s="67" t="s">
        <v>18</v>
      </c>
      <c r="E6" s="149">
        <v>14289646.7</v>
      </c>
      <c r="F6" s="62"/>
      <c r="H6" s="23"/>
      <c r="J6" s="23"/>
    </row>
    <row r="7" spans="1:10" s="22" customFormat="1" ht="16.5" customHeight="1">
      <c r="A7" s="64" t="s">
        <v>53</v>
      </c>
      <c r="B7" s="65"/>
      <c r="C7" s="66"/>
      <c r="D7" s="67" t="s">
        <v>18</v>
      </c>
      <c r="E7" s="62">
        <v>128049.97</v>
      </c>
      <c r="F7" s="62"/>
      <c r="H7" s="23"/>
      <c r="J7" s="23"/>
    </row>
    <row r="8" spans="1:10" s="22" customFormat="1" ht="16.5" customHeight="1">
      <c r="A8" s="64" t="s">
        <v>54</v>
      </c>
      <c r="B8" s="65"/>
      <c r="C8" s="66"/>
      <c r="D8" s="67" t="s">
        <v>18</v>
      </c>
      <c r="E8" s="62">
        <v>1074003.15</v>
      </c>
      <c r="F8" s="62"/>
      <c r="H8" s="23"/>
      <c r="J8" s="23"/>
    </row>
    <row r="9" spans="1:10" s="22" customFormat="1" ht="16.5" customHeight="1">
      <c r="A9" s="64" t="s">
        <v>55</v>
      </c>
      <c r="B9" s="65"/>
      <c r="C9" s="66"/>
      <c r="D9" s="67" t="s">
        <v>18</v>
      </c>
      <c r="E9" s="62">
        <v>13890.11</v>
      </c>
      <c r="F9" s="62"/>
      <c r="H9" s="23"/>
      <c r="J9" s="23"/>
    </row>
    <row r="10" spans="1:10" s="22" customFormat="1" ht="16.5" customHeight="1">
      <c r="A10" s="64" t="s">
        <v>56</v>
      </c>
      <c r="B10" s="65"/>
      <c r="C10" s="66"/>
      <c r="D10" s="67" t="s">
        <v>18</v>
      </c>
      <c r="E10" s="62">
        <v>12528.14</v>
      </c>
      <c r="F10" s="62"/>
      <c r="G10" s="28"/>
      <c r="H10" s="23"/>
      <c r="I10" s="28"/>
      <c r="J10" s="23"/>
    </row>
    <row r="11" spans="1:10" s="22" customFormat="1" ht="16.5" customHeight="1">
      <c r="A11" s="64" t="s">
        <v>57</v>
      </c>
      <c r="B11" s="65"/>
      <c r="C11" s="66"/>
      <c r="D11" s="67" t="s">
        <v>18</v>
      </c>
      <c r="E11" s="62">
        <v>12758614.97</v>
      </c>
      <c r="F11" s="62"/>
      <c r="G11" s="28"/>
      <c r="H11" s="23"/>
      <c r="I11" s="28"/>
      <c r="J11" s="23"/>
    </row>
    <row r="12" spans="1:10" s="22" customFormat="1" ht="16.5" customHeight="1">
      <c r="A12" s="74" t="s">
        <v>58</v>
      </c>
      <c r="B12" s="65"/>
      <c r="C12" s="66"/>
      <c r="D12" s="67" t="s">
        <v>19</v>
      </c>
      <c r="E12" s="150">
        <v>1751226.71</v>
      </c>
      <c r="F12" s="62"/>
      <c r="G12" s="28"/>
      <c r="H12" s="23"/>
      <c r="J12" s="23"/>
    </row>
    <row r="13" spans="1:10" s="22" customFormat="1" ht="16.5" customHeight="1">
      <c r="A13" s="64" t="s">
        <v>59</v>
      </c>
      <c r="B13" s="65"/>
      <c r="C13" s="66"/>
      <c r="D13" s="67" t="s">
        <v>19</v>
      </c>
      <c r="E13" s="70" t="s">
        <v>97</v>
      </c>
      <c r="F13" s="62"/>
      <c r="H13" s="23"/>
      <c r="I13" s="28"/>
      <c r="J13" s="23"/>
    </row>
    <row r="14" spans="1:10" s="22" customFormat="1" ht="16.5" customHeight="1">
      <c r="A14" s="64" t="s">
        <v>88</v>
      </c>
      <c r="B14" s="65"/>
      <c r="C14" s="66"/>
      <c r="D14" s="67"/>
      <c r="E14" s="62">
        <v>28750</v>
      </c>
      <c r="F14" s="62"/>
      <c r="H14" s="23"/>
      <c r="J14" s="23"/>
    </row>
    <row r="15" spans="1:10" s="22" customFormat="1" ht="16.5" customHeight="1">
      <c r="A15" s="64" t="s">
        <v>89</v>
      </c>
      <c r="B15" s="65"/>
      <c r="C15" s="66"/>
      <c r="D15" s="67" t="s">
        <v>20</v>
      </c>
      <c r="E15" s="62">
        <v>63719.17</v>
      </c>
      <c r="F15" s="62"/>
      <c r="H15" s="23"/>
      <c r="J15" s="23"/>
    </row>
    <row r="16" spans="1:10" s="22" customFormat="1" ht="16.5" customHeight="1">
      <c r="A16" s="64" t="s">
        <v>60</v>
      </c>
      <c r="B16" s="65"/>
      <c r="C16" s="66"/>
      <c r="D16" s="67" t="s">
        <v>41</v>
      </c>
      <c r="E16" s="149">
        <v>9000</v>
      </c>
      <c r="F16" s="62"/>
      <c r="H16" s="23"/>
      <c r="J16" s="23"/>
    </row>
    <row r="17" spans="1:10" s="22" customFormat="1" ht="16.5" customHeight="1">
      <c r="A17" s="64" t="s">
        <v>94</v>
      </c>
      <c r="B17" s="65"/>
      <c r="C17" s="66"/>
      <c r="D17" s="67" t="s">
        <v>30</v>
      </c>
      <c r="E17" s="62">
        <v>24000</v>
      </c>
      <c r="F17" s="62"/>
      <c r="H17" s="23"/>
      <c r="J17" s="23"/>
    </row>
    <row r="18" spans="1:10" s="22" customFormat="1" ht="16.5" customHeight="1">
      <c r="A18" s="64" t="s">
        <v>93</v>
      </c>
      <c r="B18" s="65"/>
      <c r="C18" s="66"/>
      <c r="D18" s="67" t="s">
        <v>42</v>
      </c>
      <c r="E18" s="62">
        <v>24000</v>
      </c>
      <c r="F18" s="62"/>
      <c r="H18" s="23"/>
      <c r="J18" s="23"/>
    </row>
    <row r="19" spans="1:10" s="22" customFormat="1" ht="16.5" customHeight="1">
      <c r="A19" s="64" t="s">
        <v>36</v>
      </c>
      <c r="B19" s="65"/>
      <c r="C19" s="66"/>
      <c r="D19" s="67" t="s">
        <v>43</v>
      </c>
      <c r="E19" s="62"/>
      <c r="F19" s="149">
        <v>29790628.17</v>
      </c>
      <c r="H19" s="87"/>
      <c r="J19" s="23"/>
    </row>
    <row r="20" spans="1:10" s="22" customFormat="1" ht="16.5" customHeight="1">
      <c r="A20" s="64" t="s">
        <v>62</v>
      </c>
      <c r="B20" s="65"/>
      <c r="C20" s="66"/>
      <c r="D20" s="67" t="s">
        <v>44</v>
      </c>
      <c r="E20" s="62"/>
      <c r="F20" s="62">
        <v>489388.95</v>
      </c>
      <c r="H20" s="23"/>
      <c r="J20" s="23"/>
    </row>
    <row r="21" spans="1:10" s="22" customFormat="1" ht="16.5" customHeight="1">
      <c r="A21" s="64" t="s">
        <v>37</v>
      </c>
      <c r="B21" s="65"/>
      <c r="C21" s="66"/>
      <c r="D21" s="67" t="s">
        <v>45</v>
      </c>
      <c r="E21" s="62"/>
      <c r="F21" s="62">
        <v>9000</v>
      </c>
      <c r="H21" s="23"/>
      <c r="J21" s="23"/>
    </row>
    <row r="22" spans="1:10" s="22" customFormat="1" ht="16.5" customHeight="1">
      <c r="A22" s="64" t="s">
        <v>15</v>
      </c>
      <c r="B22" s="65"/>
      <c r="C22" s="66"/>
      <c r="D22" s="67"/>
      <c r="E22" s="62"/>
      <c r="F22" s="149">
        <v>2765614.48</v>
      </c>
      <c r="H22" s="23"/>
      <c r="J22" s="23"/>
    </row>
    <row r="23" spans="1:10" s="22" customFormat="1" ht="16.5" customHeight="1">
      <c r="A23" s="64" t="s">
        <v>90</v>
      </c>
      <c r="B23" s="65"/>
      <c r="C23" s="66"/>
      <c r="D23" s="67"/>
      <c r="E23" s="62"/>
      <c r="F23" s="62">
        <v>540910</v>
      </c>
      <c r="H23" s="23"/>
      <c r="J23" s="23"/>
    </row>
    <row r="24" spans="1:10" s="22" customFormat="1" ht="16.5" customHeight="1">
      <c r="A24" s="64" t="s">
        <v>95</v>
      </c>
      <c r="B24" s="65"/>
      <c r="C24" s="66"/>
      <c r="D24" s="67" t="s">
        <v>46</v>
      </c>
      <c r="E24" s="62"/>
      <c r="F24" s="62">
        <v>24000</v>
      </c>
      <c r="H24" s="23"/>
      <c r="J24" s="23"/>
    </row>
    <row r="25" spans="1:10" s="22" customFormat="1" ht="16.5" customHeight="1">
      <c r="A25" s="64" t="s">
        <v>39</v>
      </c>
      <c r="B25" s="65"/>
      <c r="C25" s="66"/>
      <c r="D25" s="67" t="s">
        <v>29</v>
      </c>
      <c r="E25" s="62"/>
      <c r="F25" s="149">
        <v>4390597.31</v>
      </c>
      <c r="H25" s="23"/>
      <c r="J25" s="23"/>
    </row>
    <row r="26" spans="1:10" s="22" customFormat="1" ht="16.5" customHeight="1">
      <c r="A26" s="64" t="s">
        <v>40</v>
      </c>
      <c r="B26" s="65"/>
      <c r="C26" s="66"/>
      <c r="D26" s="67" t="s">
        <v>31</v>
      </c>
      <c r="E26" s="62"/>
      <c r="F26" s="62">
        <v>12097243.59</v>
      </c>
      <c r="H26" s="23"/>
      <c r="J26" s="23"/>
    </row>
    <row r="27" spans="1:10" s="22" customFormat="1" ht="16.5" customHeight="1">
      <c r="A27" s="64" t="s">
        <v>99</v>
      </c>
      <c r="B27" s="65"/>
      <c r="C27" s="66"/>
      <c r="D27" s="67" t="s">
        <v>47</v>
      </c>
      <c r="E27" s="62" t="s">
        <v>97</v>
      </c>
      <c r="F27" s="62"/>
      <c r="H27" s="23"/>
      <c r="J27" s="23"/>
    </row>
    <row r="28" spans="1:10" s="22" customFormat="1" ht="16.5" customHeight="1">
      <c r="A28" s="64" t="s">
        <v>14</v>
      </c>
      <c r="B28" s="65"/>
      <c r="C28" s="66"/>
      <c r="D28" s="67" t="s">
        <v>74</v>
      </c>
      <c r="E28" s="149">
        <v>6031984</v>
      </c>
      <c r="F28" s="62"/>
      <c r="H28" s="23"/>
      <c r="J28" s="23"/>
    </row>
    <row r="29" spans="1:10" s="22" customFormat="1" ht="16.5" customHeight="1">
      <c r="A29" s="64" t="s">
        <v>78</v>
      </c>
      <c r="B29" s="65"/>
      <c r="C29" s="66"/>
      <c r="D29" s="67" t="s">
        <v>48</v>
      </c>
      <c r="E29" s="149">
        <v>1874778</v>
      </c>
      <c r="F29" s="62"/>
      <c r="H29" s="23"/>
      <c r="J29" s="23"/>
    </row>
    <row r="30" spans="1:10" s="22" customFormat="1" ht="16.5" customHeight="1">
      <c r="A30" s="64" t="s">
        <v>79</v>
      </c>
      <c r="B30" s="65"/>
      <c r="C30" s="66"/>
      <c r="D30" s="67" t="s">
        <v>21</v>
      </c>
      <c r="E30" s="149">
        <v>4873893.07</v>
      </c>
      <c r="F30" s="62"/>
      <c r="H30" s="23"/>
      <c r="J30" s="23"/>
    </row>
    <row r="31" spans="1:10" s="22" customFormat="1" ht="16.5" customHeight="1">
      <c r="A31" s="64" t="s">
        <v>71</v>
      </c>
      <c r="B31" s="65"/>
      <c r="C31" s="66"/>
      <c r="D31" s="67" t="s">
        <v>75</v>
      </c>
      <c r="E31" s="70" t="s">
        <v>97</v>
      </c>
      <c r="F31" s="62"/>
      <c r="H31" s="23"/>
      <c r="J31" s="23"/>
    </row>
    <row r="32" spans="1:10" s="22" customFormat="1" ht="16.5" customHeight="1">
      <c r="A32" s="64" t="s">
        <v>7</v>
      </c>
      <c r="B32" s="65"/>
      <c r="C32" s="66"/>
      <c r="D32" s="67" t="s">
        <v>22</v>
      </c>
      <c r="E32" s="149">
        <v>177756.25</v>
      </c>
      <c r="F32" s="62"/>
      <c r="H32" s="23"/>
      <c r="J32" s="23"/>
    </row>
    <row r="33" spans="1:10" s="22" customFormat="1" ht="16.5" customHeight="1">
      <c r="A33" s="64" t="s">
        <v>8</v>
      </c>
      <c r="B33" s="65"/>
      <c r="C33" s="66"/>
      <c r="D33" s="67" t="s">
        <v>23</v>
      </c>
      <c r="E33" s="149">
        <v>2165213.76</v>
      </c>
      <c r="F33" s="62"/>
      <c r="H33" s="23"/>
      <c r="J33" s="23"/>
    </row>
    <row r="34" spans="1:10" s="22" customFormat="1" ht="16.5" customHeight="1">
      <c r="A34" s="64" t="s">
        <v>72</v>
      </c>
      <c r="B34" s="65"/>
      <c r="C34" s="66"/>
      <c r="D34" s="67" t="s">
        <v>76</v>
      </c>
      <c r="E34" s="70" t="s">
        <v>97</v>
      </c>
      <c r="F34" s="62"/>
      <c r="H34" s="23"/>
      <c r="J34" s="23"/>
    </row>
    <row r="35" spans="1:10" s="22" customFormat="1" ht="16.5" customHeight="1">
      <c r="A35" s="64" t="s">
        <v>9</v>
      </c>
      <c r="B35" s="65"/>
      <c r="C35" s="66"/>
      <c r="D35" s="67" t="s">
        <v>24</v>
      </c>
      <c r="E35" s="149">
        <v>1225960.72</v>
      </c>
      <c r="F35" s="62"/>
      <c r="H35" s="23"/>
      <c r="J35" s="23"/>
    </row>
    <row r="36" spans="1:10" s="22" customFormat="1" ht="16.5" customHeight="1">
      <c r="A36" s="64" t="s">
        <v>73</v>
      </c>
      <c r="B36" s="65"/>
      <c r="C36" s="66"/>
      <c r="D36" s="67" t="s">
        <v>77</v>
      </c>
      <c r="E36" s="70" t="s">
        <v>97</v>
      </c>
      <c r="F36" s="62"/>
      <c r="H36" s="23"/>
      <c r="J36" s="23"/>
    </row>
    <row r="37" spans="1:10" s="22" customFormat="1" ht="16.5" customHeight="1">
      <c r="A37" s="64" t="s">
        <v>10</v>
      </c>
      <c r="B37" s="65"/>
      <c r="C37" s="66"/>
      <c r="D37" s="67" t="s">
        <v>25</v>
      </c>
      <c r="E37" s="149">
        <v>301289.41</v>
      </c>
      <c r="F37" s="62"/>
      <c r="H37" s="23"/>
      <c r="J37" s="23"/>
    </row>
    <row r="38" spans="1:10" s="22" customFormat="1" ht="16.5" customHeight="1">
      <c r="A38" s="64" t="s">
        <v>12</v>
      </c>
      <c r="B38" s="65"/>
      <c r="C38" s="66"/>
      <c r="D38" s="67" t="s">
        <v>27</v>
      </c>
      <c r="E38" s="149">
        <v>204178.37</v>
      </c>
      <c r="F38" s="62"/>
      <c r="H38" s="23"/>
      <c r="J38" s="23"/>
    </row>
    <row r="39" spans="1:10" s="22" customFormat="1" ht="16.5" customHeight="1">
      <c r="A39" s="64" t="s">
        <v>13</v>
      </c>
      <c r="B39" s="65"/>
      <c r="C39" s="66"/>
      <c r="D39" s="67" t="s">
        <v>28</v>
      </c>
      <c r="E39" s="149">
        <v>1011900</v>
      </c>
      <c r="F39" s="62"/>
      <c r="H39" s="23"/>
      <c r="J39" s="23"/>
    </row>
    <row r="40" spans="1:10" s="22" customFormat="1" ht="16.5" customHeight="1">
      <c r="A40" s="64" t="s">
        <v>84</v>
      </c>
      <c r="B40" s="65"/>
      <c r="C40" s="66"/>
      <c r="D40" s="67" t="s">
        <v>26</v>
      </c>
      <c r="E40" s="62"/>
      <c r="F40" s="62"/>
      <c r="H40" s="23"/>
      <c r="J40" s="23"/>
    </row>
    <row r="41" spans="1:10" s="22" customFormat="1" ht="16.5" customHeight="1">
      <c r="A41" s="64" t="s">
        <v>11</v>
      </c>
      <c r="B41" s="65"/>
      <c r="C41" s="66"/>
      <c r="D41" s="67"/>
      <c r="E41" s="149">
        <v>2033000</v>
      </c>
      <c r="F41" s="62"/>
      <c r="H41" s="23"/>
      <c r="J41" s="23"/>
    </row>
    <row r="42" spans="1:10" s="22" customFormat="1" ht="16.5" customHeight="1">
      <c r="A42" s="71" t="s">
        <v>98</v>
      </c>
      <c r="B42" s="72"/>
      <c r="C42" s="73"/>
      <c r="D42" s="67"/>
      <c r="E42" s="149">
        <v>30000</v>
      </c>
      <c r="F42" s="93"/>
      <c r="H42" s="23"/>
      <c r="J42" s="23"/>
    </row>
    <row r="43" spans="1:10" s="22" customFormat="1" ht="18.75" customHeight="1" thickBot="1">
      <c r="A43" s="122" t="s">
        <v>16</v>
      </c>
      <c r="B43" s="123"/>
      <c r="C43" s="124"/>
      <c r="D43" s="46"/>
      <c r="E43" s="79">
        <f>SUM(E6:E42)</f>
        <v>50107382.49999999</v>
      </c>
      <c r="F43" s="79">
        <f>SUM(F19:F42)</f>
        <v>50107382.5</v>
      </c>
      <c r="G43" s="28">
        <f>E43-F43</f>
        <v>0</v>
      </c>
      <c r="H43" s="23"/>
      <c r="J43" s="23"/>
    </row>
    <row r="44" spans="1:16" s="7" customFormat="1" ht="16.5" customHeight="1" thickTop="1">
      <c r="A44" s="82"/>
      <c r="B44" s="82"/>
      <c r="C44" s="82"/>
      <c r="D44" s="83"/>
      <c r="E44" s="84"/>
      <c r="F44" s="84"/>
      <c r="G44" s="10"/>
      <c r="H44" s="6"/>
      <c r="I44" s="4"/>
      <c r="J44" s="6"/>
      <c r="K44" s="4"/>
      <c r="L44" s="4"/>
      <c r="M44" s="4"/>
      <c r="N44" s="4"/>
      <c r="O44" s="4"/>
      <c r="P44" s="4"/>
    </row>
    <row r="45" spans="1:16" s="7" customFormat="1" ht="21" customHeight="1">
      <c r="A45" s="77" t="s">
        <v>33</v>
      </c>
      <c r="B45" s="77"/>
      <c r="C45" s="77" t="s">
        <v>34</v>
      </c>
      <c r="D45" s="77"/>
      <c r="E45" s="77" t="s">
        <v>35</v>
      </c>
      <c r="F45" s="77"/>
      <c r="G45" s="4"/>
      <c r="H45" s="6"/>
      <c r="I45" s="4"/>
      <c r="J45" s="6"/>
      <c r="K45" s="4"/>
      <c r="L45" s="4"/>
      <c r="M45" s="4"/>
      <c r="N45" s="4"/>
      <c r="O45" s="4"/>
      <c r="P45" s="4"/>
    </row>
    <row r="46" spans="1:16" s="7" customFormat="1" ht="18" customHeight="1">
      <c r="A46" s="117" t="s">
        <v>64</v>
      </c>
      <c r="B46" s="117"/>
      <c r="C46" s="117" t="s">
        <v>106</v>
      </c>
      <c r="D46" s="117"/>
      <c r="E46" s="116" t="s">
        <v>66</v>
      </c>
      <c r="F46" s="116"/>
      <c r="G46" s="4"/>
      <c r="H46" s="6"/>
      <c r="I46" s="4"/>
      <c r="J46" s="6"/>
      <c r="K46" s="4"/>
      <c r="L46" s="4"/>
      <c r="M46" s="4"/>
      <c r="N46" s="4"/>
      <c r="O46" s="4"/>
      <c r="P46" s="4"/>
    </row>
    <row r="47" spans="1:16" s="7" customFormat="1" ht="18" customHeight="1">
      <c r="A47" s="117" t="s">
        <v>32</v>
      </c>
      <c r="B47" s="117"/>
      <c r="C47" s="117" t="s">
        <v>68</v>
      </c>
      <c r="D47" s="117"/>
      <c r="E47" s="118" t="s">
        <v>67</v>
      </c>
      <c r="F47" s="118"/>
      <c r="G47" s="4"/>
      <c r="H47" s="6"/>
      <c r="I47" s="4"/>
      <c r="J47" s="6"/>
      <c r="K47" s="4"/>
      <c r="L47" s="4"/>
      <c r="M47" s="4"/>
      <c r="N47" s="4"/>
      <c r="O47" s="4"/>
      <c r="P47" s="4"/>
    </row>
    <row r="48" spans="1:6" ht="14.25">
      <c r="A48" s="91"/>
      <c r="B48" s="91"/>
      <c r="C48" s="91"/>
      <c r="D48" s="91"/>
      <c r="E48" s="92"/>
      <c r="F48" s="92"/>
    </row>
  </sheetData>
  <sheetProtection/>
  <mergeCells count="11">
    <mergeCell ref="E46:F46"/>
    <mergeCell ref="A47:B47"/>
    <mergeCell ref="C47:D47"/>
    <mergeCell ref="E47:F47"/>
    <mergeCell ref="A1:F1"/>
    <mergeCell ref="A2:F2"/>
    <mergeCell ref="A3:F3"/>
    <mergeCell ref="A4:C4"/>
    <mergeCell ref="A43:C43"/>
    <mergeCell ref="A46:B46"/>
    <mergeCell ref="C46:D46"/>
  </mergeCells>
  <printOptions/>
  <pageMargins left="0.36" right="0.26" top="0.19" bottom="0.17" header="0.14" footer="0.1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2017-07-06T07:07:52Z</cp:lastPrinted>
  <dcterms:created xsi:type="dcterms:W3CDTF">2007-11-23T06:45:08Z</dcterms:created>
  <dcterms:modified xsi:type="dcterms:W3CDTF">2017-07-06T07:27:06Z</dcterms:modified>
  <cp:category/>
  <cp:version/>
  <cp:contentType/>
  <cp:contentStatus/>
</cp:coreProperties>
</file>